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<sst xmlns="http://schemas.openxmlformats.org/spreadsheetml/2006/main" count="20795" uniqueCount="10145">
  <si>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</si>
  <si>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</si>
  <si>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</si>
  <si>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</si>
  <si>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</si>
  <si>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</si>
  <si>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</si>
  <si>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</si>
  <si>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</si>
  <si>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</si>
  <si>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</si>
  <si>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</si>
  <si>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</si>
  <si>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</si>
  <si>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</si>
  <si>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</si>
  <si>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</si>
  <si>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</si>
  <si>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</si>
  <si>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</si>
  <si>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</si>
  <si>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</si>
  <si>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</si>
  <si>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</si>
  <si>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</si>
  <si>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</si>
  <si>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</si>
  <si>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NOC</t>
  </si>
  <si>
    <t>MDU</t>
  </si>
  <si>
    <t>FDX</t>
  </si>
  <si>
    <t>SLGN</t>
  </si>
  <si>
    <t>WBA</t>
  </si>
  <si>
    <t>BDX</t>
  </si>
  <si>
    <t>ADM</t>
  </si>
  <si>
    <t>BANF</t>
  </si>
  <si>
    <t>CHRW</t>
  </si>
  <si>
    <t>PII</t>
  </si>
  <si>
    <t>UNM</t>
  </si>
  <si>
    <t>SYK</t>
  </si>
  <si>
    <t>JW.A</t>
  </si>
  <si>
    <t>RGLD</t>
  </si>
  <si>
    <t>NIDB</t>
  </si>
  <si>
    <t>CAH</t>
  </si>
  <si>
    <t>EFSI</t>
  </si>
  <si>
    <t>ABBV</t>
  </si>
  <si>
    <t>ATO</t>
  </si>
  <si>
    <t>JNJ</t>
  </si>
  <si>
    <t>BKH</t>
  </si>
  <si>
    <t>TNC</t>
  </si>
  <si>
    <t>PH</t>
  </si>
  <si>
    <t>FMS</t>
  </si>
  <si>
    <t>LHX</t>
  </si>
  <si>
    <t>SWK</t>
  </si>
  <si>
    <t>CINF</t>
  </si>
  <si>
    <t>LEG</t>
  </si>
  <si>
    <t>MMM</t>
  </si>
  <si>
    <t>V</t>
  </si>
  <si>
    <t>AFL</t>
  </si>
  <si>
    <t>QCOM</t>
  </si>
  <si>
    <t>ANTM</t>
  </si>
  <si>
    <t>TMO</t>
  </si>
  <si>
    <t>ABC</t>
  </si>
  <si>
    <t>FMCB</t>
  </si>
  <si>
    <t>CTBI</t>
  </si>
  <si>
    <t>LOW</t>
  </si>
  <si>
    <t>ROP</t>
  </si>
  <si>
    <t>MET</t>
  </si>
  <si>
    <t>SYY</t>
  </si>
  <si>
    <t>BRC</t>
  </si>
  <si>
    <t>KO</t>
  </si>
  <si>
    <t>RNR</t>
  </si>
  <si>
    <t>SKM</t>
  </si>
  <si>
    <t>SEIC</t>
  </si>
  <si>
    <t>EBTC</t>
  </si>
  <si>
    <t>CP</t>
  </si>
  <si>
    <t>WMT</t>
  </si>
  <si>
    <t>NWN</t>
  </si>
  <si>
    <t>NFG</t>
  </si>
  <si>
    <t>MATW</t>
  </si>
  <si>
    <t>CPKF</t>
  </si>
  <si>
    <t>AIZ</t>
  </si>
  <si>
    <t>WHR</t>
  </si>
  <si>
    <t>LANC</t>
  </si>
  <si>
    <t>CL</t>
  </si>
  <si>
    <t>EXPD</t>
  </si>
  <si>
    <t>ADP</t>
  </si>
  <si>
    <t>MKC</t>
  </si>
  <si>
    <t>MCK</t>
  </si>
  <si>
    <t>SON</t>
  </si>
  <si>
    <t>TRV</t>
  </si>
  <si>
    <t>DG</t>
  </si>
  <si>
    <t>BBY</t>
  </si>
  <si>
    <t>BEN</t>
  </si>
  <si>
    <t>GD</t>
  </si>
  <si>
    <t>AMP</t>
  </si>
  <si>
    <t>INTU</t>
  </si>
  <si>
    <t>UGI</t>
  </si>
  <si>
    <t>ORCL</t>
  </si>
  <si>
    <t>VFC</t>
  </si>
  <si>
    <t>JKHY</t>
  </si>
  <si>
    <t>GPC</t>
  </si>
  <si>
    <t>PSBQ</t>
  </si>
  <si>
    <t>CSX</t>
  </si>
  <si>
    <t>PPG</t>
  </si>
  <si>
    <t>FFMR</t>
  </si>
  <si>
    <t>KR</t>
  </si>
  <si>
    <t>MDT</t>
  </si>
  <si>
    <t>SCL</t>
  </si>
  <si>
    <t>TXT</t>
  </si>
  <si>
    <t>HRL</t>
  </si>
  <si>
    <t>CAT</t>
  </si>
  <si>
    <t>PNR</t>
  </si>
  <si>
    <t>CBSH</t>
  </si>
  <si>
    <t>EMR</t>
  </si>
  <si>
    <t>BRO</t>
  </si>
  <si>
    <t>SPGI</t>
  </si>
  <si>
    <t>LECO</t>
  </si>
  <si>
    <t>CHD</t>
  </si>
  <si>
    <t>AROW</t>
  </si>
  <si>
    <t>THFF</t>
  </si>
  <si>
    <t>DOV</t>
  </si>
  <si>
    <t>RE</t>
  </si>
  <si>
    <t>CSL</t>
  </si>
  <si>
    <t>MCD</t>
  </si>
  <si>
    <t>COST</t>
  </si>
  <si>
    <t>TGT</t>
  </si>
  <si>
    <t>PG</t>
  </si>
  <si>
    <t>OZK</t>
  </si>
  <si>
    <t>MCO</t>
  </si>
  <si>
    <t>FUL</t>
  </si>
  <si>
    <t>CSVI</t>
  </si>
  <si>
    <t>WSM</t>
  </si>
  <si>
    <t>CB</t>
  </si>
  <si>
    <t>RPM</t>
  </si>
  <si>
    <t>AXP</t>
  </si>
  <si>
    <t>ITW</t>
  </si>
  <si>
    <t>SRCE</t>
  </si>
  <si>
    <t>AAPL</t>
  </si>
  <si>
    <t>GRC</t>
  </si>
  <si>
    <t>ABT</t>
  </si>
  <si>
    <t>TROW</t>
  </si>
  <si>
    <t>FELE</t>
  </si>
  <si>
    <t>GWW</t>
  </si>
  <si>
    <t>NKE</t>
  </si>
  <si>
    <t>TSCO</t>
  </si>
  <si>
    <t>SJW</t>
  </si>
  <si>
    <t>UBSI</t>
  </si>
  <si>
    <t>AOS</t>
  </si>
  <si>
    <t>LIN</t>
  </si>
  <si>
    <t>MSFT</t>
  </si>
  <si>
    <t>MGEE</t>
  </si>
  <si>
    <t>CWT</t>
  </si>
  <si>
    <t>TMP</t>
  </si>
  <si>
    <t>CTAS</t>
  </si>
  <si>
    <t>ECL</t>
  </si>
  <si>
    <t>AMAT</t>
  </si>
  <si>
    <t>ATR</t>
  </si>
  <si>
    <t>BF.B</t>
  </si>
  <si>
    <t>SHW</t>
  </si>
  <si>
    <t>MSA</t>
  </si>
  <si>
    <t>NDSN</t>
  </si>
  <si>
    <t>EBAY</t>
  </si>
  <si>
    <t>ZTS</t>
  </si>
  <si>
    <t>AWR</t>
  </si>
  <si>
    <t>WST</t>
  </si>
  <si>
    <t>MORN</t>
  </si>
  <si>
    <t>RLI</t>
  </si>
  <si>
    <t>NUE</t>
  </si>
  <si>
    <t>BAM</t>
  </si>
  <si>
    <t>BMI</t>
  </si>
  <si>
    <t>MSEX</t>
  </si>
  <si>
    <t>ALB</t>
  </si>
  <si>
    <t>CI</t>
  </si>
  <si>
    <t>T</t>
  </si>
  <si>
    <t>PNGAY</t>
  </si>
  <si>
    <t>LAD</t>
  </si>
  <si>
    <t>AMGN</t>
  </si>
  <si>
    <t>VZ</t>
  </si>
  <si>
    <t>CMCSA</t>
  </si>
  <si>
    <t>LAZ</t>
  </si>
  <si>
    <t>WU</t>
  </si>
  <si>
    <t>IPG</t>
  </si>
  <si>
    <t>OMC</t>
  </si>
  <si>
    <t>SAP</t>
  </si>
  <si>
    <t>INTC</t>
  </si>
  <si>
    <t>SRE</t>
  </si>
  <si>
    <t>NC</t>
  </si>
  <si>
    <t>OGN</t>
  </si>
  <si>
    <t>SR</t>
  </si>
  <si>
    <t>NVS</t>
  </si>
  <si>
    <t>MO</t>
  </si>
  <si>
    <t>ENB</t>
  </si>
  <si>
    <t>YUM</t>
  </si>
  <si>
    <t>FLIC</t>
  </si>
  <si>
    <t>RDEIY</t>
  </si>
  <si>
    <t>TDS</t>
  </si>
  <si>
    <t>SUN</t>
  </si>
  <si>
    <t>GILD</t>
  </si>
  <si>
    <t>LMT</t>
  </si>
  <si>
    <t>EPD</t>
  </si>
  <si>
    <t>MURGF</t>
  </si>
  <si>
    <t>SWX</t>
  </si>
  <si>
    <t>FTS</t>
  </si>
  <si>
    <t>NJR</t>
  </si>
  <si>
    <t>HII</t>
  </si>
  <si>
    <t>BIP</t>
  </si>
  <si>
    <t>KDP</t>
  </si>
  <si>
    <t>HRB</t>
  </si>
  <si>
    <t>BR</t>
  </si>
  <si>
    <t>FNV</t>
  </si>
  <si>
    <t>BNS</t>
  </si>
  <si>
    <t>BLK</t>
  </si>
  <si>
    <t>HBI</t>
  </si>
  <si>
    <t>CDUAF</t>
  </si>
  <si>
    <t>SLF</t>
  </si>
  <si>
    <t>UNH</t>
  </si>
  <si>
    <t>MSM</t>
  </si>
  <si>
    <t>GWLIF</t>
  </si>
  <si>
    <t>IMO</t>
  </si>
  <si>
    <t>CIO</t>
  </si>
  <si>
    <t>IBM</t>
  </si>
  <si>
    <t>MRK</t>
  </si>
  <si>
    <t>MDLZ</t>
  </si>
  <si>
    <t>EMN</t>
  </si>
  <si>
    <t>RBGLY</t>
  </si>
  <si>
    <t>TD</t>
  </si>
  <si>
    <t>RY</t>
  </si>
  <si>
    <t>HD</t>
  </si>
  <si>
    <t>TTC</t>
  </si>
  <si>
    <t>CM</t>
  </si>
  <si>
    <t>BMO</t>
  </si>
  <si>
    <t>LNT</t>
  </si>
  <si>
    <t>CMI</t>
  </si>
  <si>
    <t>SNA</t>
  </si>
  <si>
    <t>TXN</t>
  </si>
  <si>
    <t>UVV</t>
  </si>
  <si>
    <t>PB</t>
  </si>
  <si>
    <t>NTIOF</t>
  </si>
  <si>
    <t>EQIX</t>
  </si>
  <si>
    <t>EIX</t>
  </si>
  <si>
    <t>PBCT</t>
  </si>
  <si>
    <t>BAH</t>
  </si>
  <si>
    <t>FOXA</t>
  </si>
  <si>
    <t>AXS</t>
  </si>
  <si>
    <t>CSCO</t>
  </si>
  <si>
    <t>RELX</t>
  </si>
  <si>
    <t>XOM</t>
  </si>
  <si>
    <t>DTE</t>
  </si>
  <si>
    <t>K</t>
  </si>
  <si>
    <t>ORI</t>
  </si>
  <si>
    <t>SBUX</t>
  </si>
  <si>
    <t>DPZ</t>
  </si>
  <si>
    <t>YORW</t>
  </si>
  <si>
    <t>CVS</t>
  </si>
  <si>
    <t>KMB</t>
  </si>
  <si>
    <t>TSN</t>
  </si>
  <si>
    <t>AMX</t>
  </si>
  <si>
    <t>ARTNA</t>
  </si>
  <si>
    <t>RBA</t>
  </si>
  <si>
    <t>CVX</t>
  </si>
  <si>
    <t>UPS</t>
  </si>
  <si>
    <t>WEYS</t>
  </si>
  <si>
    <t>SJM</t>
  </si>
  <si>
    <t>CLX</t>
  </si>
  <si>
    <t>WABC</t>
  </si>
  <si>
    <t>SIEGY</t>
  </si>
  <si>
    <t>ETR</t>
  </si>
  <si>
    <t>SPTN</t>
  </si>
  <si>
    <t>RSG</t>
  </si>
  <si>
    <t>OTTR</t>
  </si>
  <si>
    <t>ICE</t>
  </si>
  <si>
    <t>CTSH</t>
  </si>
  <si>
    <t>CONE</t>
  </si>
  <si>
    <t>ED</t>
  </si>
  <si>
    <t>NEP</t>
  </si>
  <si>
    <t>AMT</t>
  </si>
  <si>
    <t>SBAC</t>
  </si>
  <si>
    <t>RTX</t>
  </si>
  <si>
    <t>NSC</t>
  </si>
  <si>
    <t>PEG</t>
  </si>
  <si>
    <t>XEL</t>
  </si>
  <si>
    <t>LRLCF</t>
  </si>
  <si>
    <t>PEP</t>
  </si>
  <si>
    <t>MTB</t>
  </si>
  <si>
    <t>HSY</t>
  </si>
  <si>
    <t>DE</t>
  </si>
  <si>
    <t>SBSI</t>
  </si>
  <si>
    <t>GEF</t>
  </si>
  <si>
    <t>AAP</t>
  </si>
  <si>
    <t>RHHBY</t>
  </si>
  <si>
    <t>AWK</t>
  </si>
  <si>
    <t>NEE</t>
  </si>
  <si>
    <t>UNP</t>
  </si>
  <si>
    <t>INGR</t>
  </si>
  <si>
    <t>IFF</t>
  </si>
  <si>
    <t>HON</t>
  </si>
  <si>
    <t>TR</t>
  </si>
  <si>
    <t>MGRC</t>
  </si>
  <si>
    <t>MWA</t>
  </si>
  <si>
    <t>RMD</t>
  </si>
  <si>
    <t>PRGO</t>
  </si>
  <si>
    <t>WTRG</t>
  </si>
  <si>
    <t>CARR</t>
  </si>
  <si>
    <t>AJG</t>
  </si>
  <si>
    <t>APD</t>
  </si>
  <si>
    <t>NVO</t>
  </si>
  <si>
    <t>ROK</t>
  </si>
  <si>
    <t>CNI</t>
  </si>
  <si>
    <t>FRT</t>
  </si>
  <si>
    <t>DDS</t>
  </si>
  <si>
    <t>OTIS</t>
  </si>
  <si>
    <t>UNF</t>
  </si>
  <si>
    <t>UMBF</t>
  </si>
  <si>
    <t>TT</t>
  </si>
  <si>
    <t>ESS</t>
  </si>
  <si>
    <t>CFR</t>
  </si>
  <si>
    <t>WM</t>
  </si>
  <si>
    <t>ERIE</t>
  </si>
  <si>
    <t>CBU</t>
  </si>
  <si>
    <t>LLY</t>
  </si>
  <si>
    <t>XYL</t>
  </si>
  <si>
    <t>HMLP</t>
  </si>
  <si>
    <t>MFGP</t>
  </si>
  <si>
    <t>TX</t>
  </si>
  <si>
    <t>VTRS</t>
  </si>
  <si>
    <t>JACK</t>
  </si>
  <si>
    <t>MDC</t>
  </si>
  <si>
    <t>FL</t>
  </si>
  <si>
    <t>TRTN</t>
  </si>
  <si>
    <t>MMP</t>
  </si>
  <si>
    <t>LYB</t>
  </si>
  <si>
    <t>SJI</t>
  </si>
  <si>
    <t>BTI</t>
  </si>
  <si>
    <t>MCHP</t>
  </si>
  <si>
    <t>ALLY</t>
  </si>
  <si>
    <t>DKS</t>
  </si>
  <si>
    <t>PNW</t>
  </si>
  <si>
    <t>TTE</t>
  </si>
  <si>
    <t>DGX</t>
  </si>
  <si>
    <t>FNF</t>
  </si>
  <si>
    <t>OGS</t>
  </si>
  <si>
    <t>HPE</t>
  </si>
  <si>
    <t>THO</t>
  </si>
  <si>
    <t>ALL</t>
  </si>
  <si>
    <t>PHM</t>
  </si>
  <si>
    <t>EQNR</t>
  </si>
  <si>
    <t>SNY</t>
  </si>
  <si>
    <t>TYCB</t>
  </si>
  <si>
    <t>JBL</t>
  </si>
  <si>
    <t>LRCX</t>
  </si>
  <si>
    <t>OGE</t>
  </si>
  <si>
    <t>DFS</t>
  </si>
  <si>
    <t>AEG</t>
  </si>
  <si>
    <t>EVRG</t>
  </si>
  <si>
    <t>PFE</t>
  </si>
  <si>
    <t>DHI</t>
  </si>
  <si>
    <t>HPQ</t>
  </si>
  <si>
    <t>UL</t>
  </si>
  <si>
    <t>BASFY</t>
  </si>
  <si>
    <t>SYF</t>
  </si>
  <si>
    <t>NHI</t>
  </si>
  <si>
    <t>FAF</t>
  </si>
  <si>
    <t>POR</t>
  </si>
  <si>
    <t>STN</t>
  </si>
  <si>
    <t>MPLX</t>
  </si>
  <si>
    <t>CC</t>
  </si>
  <si>
    <t>SMG</t>
  </si>
  <si>
    <t>LNC</t>
  </si>
  <si>
    <t>NAVI</t>
  </si>
  <si>
    <t>PFG</t>
  </si>
  <si>
    <t>C</t>
  </si>
  <si>
    <t>CE</t>
  </si>
  <si>
    <t>PM</t>
  </si>
  <si>
    <t>GPS</t>
  </si>
  <si>
    <t>ALE</t>
  </si>
  <si>
    <t>COLD</t>
  </si>
  <si>
    <t>SVC</t>
  </si>
  <si>
    <t>PRU</t>
  </si>
  <si>
    <t>TM</t>
  </si>
  <si>
    <t>ROST</t>
  </si>
  <si>
    <t>CPB</t>
  </si>
  <si>
    <t>RCI</t>
  </si>
  <si>
    <t>AEP</t>
  </si>
  <si>
    <t>IVZ</t>
  </si>
  <si>
    <t>HUN</t>
  </si>
  <si>
    <t>ITUB</t>
  </si>
  <si>
    <t>SO</t>
  </si>
  <si>
    <t>KSS</t>
  </si>
  <si>
    <t>SAXPY</t>
  </si>
  <si>
    <t>APLE</t>
  </si>
  <si>
    <t>UHT</t>
  </si>
  <si>
    <t>FLO</t>
  </si>
  <si>
    <t>GIS</t>
  </si>
  <si>
    <t>OKE</t>
  </si>
  <si>
    <t>NLSN</t>
  </si>
  <si>
    <t>KLAC</t>
  </si>
  <si>
    <t>GLOP</t>
  </si>
  <si>
    <t>DDAIF</t>
  </si>
  <si>
    <t>PKX</t>
  </si>
  <si>
    <t>O</t>
  </si>
  <si>
    <t>WFC</t>
  </si>
  <si>
    <t>GEO</t>
  </si>
  <si>
    <t>BK</t>
  </si>
  <si>
    <t>AON</t>
  </si>
  <si>
    <t>CUBE</t>
  </si>
  <si>
    <t>R</t>
  </si>
  <si>
    <t>BMWYY</t>
  </si>
  <si>
    <t>CFG</t>
  </si>
  <si>
    <t>WY</t>
  </si>
  <si>
    <t>JPM</t>
  </si>
  <si>
    <t>MA</t>
  </si>
  <si>
    <t>WEC</t>
  </si>
  <si>
    <t>HAL</t>
  </si>
  <si>
    <t>VIAC</t>
  </si>
  <si>
    <t>KEY</t>
  </si>
  <si>
    <t>PSB</t>
  </si>
  <si>
    <t>PNC</t>
  </si>
  <si>
    <t>BUD</t>
  </si>
  <si>
    <t>PDCO</t>
  </si>
  <si>
    <t>ASML</t>
  </si>
  <si>
    <t>WPC</t>
  </si>
  <si>
    <t>MGA</t>
  </si>
  <si>
    <t>GE</t>
  </si>
  <si>
    <t>BWA</t>
  </si>
  <si>
    <t>DUK</t>
  </si>
  <si>
    <t>MMC</t>
  </si>
  <si>
    <t>NNN</t>
  </si>
  <si>
    <t>AGM</t>
  </si>
  <si>
    <t>HOG</t>
  </si>
  <si>
    <t>ESRT</t>
  </si>
  <si>
    <t>BAC</t>
  </si>
  <si>
    <t>STZ</t>
  </si>
  <si>
    <t>GOLD</t>
  </si>
  <si>
    <t>GS</t>
  </si>
  <si>
    <t>FITB</t>
  </si>
  <si>
    <t>GNTX</t>
  </si>
  <si>
    <t>OSK</t>
  </si>
  <si>
    <t>LOGI</t>
  </si>
  <si>
    <t>PAYX</t>
  </si>
  <si>
    <t>CMA</t>
  </si>
  <si>
    <t>PACW</t>
  </si>
  <si>
    <t>DLR</t>
  </si>
  <si>
    <t>EAF</t>
  </si>
  <si>
    <t>PSA</t>
  </si>
  <si>
    <t>ABB</t>
  </si>
  <si>
    <t>MRVL</t>
  </si>
  <si>
    <t>DEO</t>
  </si>
  <si>
    <t>NSRGY</t>
  </si>
  <si>
    <t>KLIC</t>
  </si>
  <si>
    <t>M</t>
  </si>
  <si>
    <t>FAST</t>
  </si>
  <si>
    <t>AVB</t>
  </si>
  <si>
    <t>HNI</t>
  </si>
  <si>
    <t>OXY</t>
  </si>
  <si>
    <t>MT</t>
  </si>
  <si>
    <t>TER</t>
  </si>
  <si>
    <t>AUY</t>
  </si>
  <si>
    <t>INFY</t>
  </si>
  <si>
    <t>FCX</t>
  </si>
  <si>
    <t>STLD</t>
  </si>
  <si>
    <t>RACE</t>
  </si>
  <si>
    <t>KSU</t>
  </si>
  <si>
    <t>KKR</t>
  </si>
  <si>
    <t>SONY</t>
  </si>
  <si>
    <t>TRI</t>
  </si>
  <si>
    <t>APA</t>
  </si>
  <si>
    <t>NVDA</t>
  </si>
  <si>
    <t>VMC</t>
  </si>
  <si>
    <t>DHC</t>
  </si>
  <si>
    <t>OLN</t>
  </si>
  <si>
    <t>ERF</t>
  </si>
  <si>
    <t>SHLX</t>
  </si>
  <si>
    <t>PBR</t>
  </si>
  <si>
    <t>HEP</t>
  </si>
  <si>
    <t>ARLP</t>
  </si>
  <si>
    <t>SPH</t>
  </si>
  <si>
    <t>EOG</t>
  </si>
  <si>
    <t>PAA</t>
  </si>
  <si>
    <t>ERIC</t>
  </si>
  <si>
    <t>PGR</t>
  </si>
  <si>
    <t>BHP</t>
  </si>
  <si>
    <t>AVAL</t>
  </si>
  <si>
    <t>TPR</t>
  </si>
  <si>
    <t>PTR</t>
  </si>
  <si>
    <t>MS</t>
  </si>
  <si>
    <t>HAS</t>
  </si>
  <si>
    <t>HSBC</t>
  </si>
  <si>
    <t>TGP</t>
  </si>
  <si>
    <t>VALE</t>
  </si>
  <si>
    <t>KRC</t>
  </si>
  <si>
    <t>UNIT</t>
  </si>
  <si>
    <t>AZN</t>
  </si>
  <si>
    <t>ET</t>
  </si>
  <si>
    <t>NYCB</t>
  </si>
  <si>
    <t>PSX</t>
  </si>
  <si>
    <t>SLG</t>
  </si>
  <si>
    <t>PHG</t>
  </si>
  <si>
    <t>WEN</t>
  </si>
  <si>
    <t>DRI</t>
  </si>
  <si>
    <t>TFC</t>
  </si>
  <si>
    <t>MFC</t>
  </si>
  <si>
    <t>BAYRY</t>
  </si>
  <si>
    <t>LUMN</t>
  </si>
  <si>
    <t>BP</t>
  </si>
  <si>
    <t>MGP</t>
  </si>
  <si>
    <t>SAFE</t>
  </si>
  <si>
    <t>WSBC</t>
  </si>
  <si>
    <t>TRST</t>
  </si>
  <si>
    <t>MKTX</t>
  </si>
  <si>
    <t>IMBBY</t>
  </si>
  <si>
    <t>DOW</t>
  </si>
  <si>
    <t>TAP</t>
  </si>
  <si>
    <t>D</t>
  </si>
  <si>
    <t>RIO</t>
  </si>
  <si>
    <t>OPI</t>
  </si>
  <si>
    <t>RDS.B</t>
  </si>
  <si>
    <t>CAG</t>
  </si>
  <si>
    <t>GORO</t>
  </si>
  <si>
    <t>FRFHF</t>
  </si>
  <si>
    <t>PGRE</t>
  </si>
  <si>
    <t>WASH</t>
  </si>
  <si>
    <t>RF</t>
  </si>
  <si>
    <t>KMI</t>
  </si>
  <si>
    <t>DD</t>
  </si>
  <si>
    <t>NTR</t>
  </si>
  <si>
    <t>NGG</t>
  </si>
  <si>
    <t>WMB</t>
  </si>
  <si>
    <t>AMCR</t>
  </si>
  <si>
    <t>SPG</t>
  </si>
  <si>
    <t>INVH</t>
  </si>
  <si>
    <t>CNA</t>
  </si>
  <si>
    <t>NWL</t>
  </si>
  <si>
    <t>FE</t>
  </si>
  <si>
    <t>PETS</t>
  </si>
  <si>
    <t>SBS</t>
  </si>
  <si>
    <t>REG</t>
  </si>
  <si>
    <t>IP</t>
  </si>
  <si>
    <t>CNP</t>
  </si>
  <si>
    <t>HIW</t>
  </si>
  <si>
    <t>EMRAF</t>
  </si>
  <si>
    <t>MPW</t>
  </si>
  <si>
    <t>PDM</t>
  </si>
  <si>
    <t>LMRK</t>
  </si>
  <si>
    <t>WSR</t>
  </si>
  <si>
    <t>DEA</t>
  </si>
  <si>
    <t>PCAR</t>
  </si>
  <si>
    <t>MCY</t>
  </si>
  <si>
    <t>SMFG</t>
  </si>
  <si>
    <t>ADC</t>
  </si>
  <si>
    <t>AGNC</t>
  </si>
  <si>
    <t>HASI</t>
  </si>
  <si>
    <t>NTAP</t>
  </si>
  <si>
    <t>CAJ</t>
  </si>
  <si>
    <t>ING</t>
  </si>
  <si>
    <t>KRG</t>
  </si>
  <si>
    <t>UE</t>
  </si>
  <si>
    <t>WPP</t>
  </si>
  <si>
    <t>JNPR</t>
  </si>
  <si>
    <t>ALV</t>
  </si>
  <si>
    <t>NSP</t>
  </si>
  <si>
    <t>KHC</t>
  </si>
  <si>
    <t>GLW</t>
  </si>
  <si>
    <t>COP</t>
  </si>
  <si>
    <t>TS</t>
  </si>
  <si>
    <t>GRMN</t>
  </si>
  <si>
    <t>CORR</t>
  </si>
  <si>
    <t>CCI</t>
  </si>
  <si>
    <t>HBAN</t>
  </si>
  <si>
    <t>DEI</t>
  </si>
  <si>
    <t>TJX</t>
  </si>
  <si>
    <t>BBD</t>
  </si>
  <si>
    <t>AVGO</t>
  </si>
  <si>
    <t>BXP</t>
  </si>
  <si>
    <t>USB</t>
  </si>
  <si>
    <t>GEL</t>
  </si>
  <si>
    <t>AES</t>
  </si>
  <si>
    <t>TU</t>
  </si>
  <si>
    <t>SUUIF</t>
  </si>
  <si>
    <t>DOC</t>
  </si>
  <si>
    <t>TSM</t>
  </si>
  <si>
    <t>HMC</t>
  </si>
  <si>
    <t>WRK</t>
  </si>
  <si>
    <t>CODI</t>
  </si>
  <si>
    <t>KTB</t>
  </si>
  <si>
    <t>SKT</t>
  </si>
  <si>
    <t>PLD</t>
  </si>
  <si>
    <t>STX</t>
  </si>
  <si>
    <t>EGP</t>
  </si>
  <si>
    <t>UBS</t>
  </si>
  <si>
    <t>PSO</t>
  </si>
  <si>
    <t>MPWR</t>
  </si>
  <si>
    <t>RGA</t>
  </si>
  <si>
    <t>BRX</t>
  </si>
  <si>
    <t>TRSWF</t>
  </si>
  <si>
    <t>ARE</t>
  </si>
  <si>
    <t>DRE</t>
  </si>
  <si>
    <t>APO</t>
  </si>
  <si>
    <t>MAC</t>
  </si>
  <si>
    <t>ELS</t>
  </si>
  <si>
    <t>JCI</t>
  </si>
  <si>
    <t>SLB</t>
  </si>
  <si>
    <t>LXP</t>
  </si>
  <si>
    <t>EXPO</t>
  </si>
  <si>
    <t>FR</t>
  </si>
  <si>
    <t>CNQ</t>
  </si>
  <si>
    <t>COR</t>
  </si>
  <si>
    <t>EXC</t>
  </si>
  <si>
    <t>OGZPY</t>
  </si>
  <si>
    <t>CF</t>
  </si>
  <si>
    <t>TRGP</t>
  </si>
  <si>
    <t>AMH</t>
  </si>
  <si>
    <t>MAA</t>
  </si>
  <si>
    <t>CME</t>
  </si>
  <si>
    <t>ACN</t>
  </si>
  <si>
    <t>WPM</t>
  </si>
  <si>
    <t>CWEN</t>
  </si>
  <si>
    <t>CPT</t>
  </si>
  <si>
    <t>ETN</t>
  </si>
  <si>
    <t>KIM</t>
  </si>
  <si>
    <t>SCHL</t>
  </si>
  <si>
    <t>TEF</t>
  </si>
  <si>
    <t>SNP</t>
  </si>
  <si>
    <t>OHI</t>
  </si>
  <si>
    <t>APAM</t>
  </si>
  <si>
    <t>SCCO</t>
  </si>
  <si>
    <t>ORAN</t>
  </si>
  <si>
    <t>CLPR</t>
  </si>
  <si>
    <t>IIPR</t>
  </si>
  <si>
    <t>PSXP</t>
  </si>
  <si>
    <t>GECC</t>
  </si>
  <si>
    <t>IEP</t>
  </si>
  <si>
    <t>DHT</t>
  </si>
  <si>
    <t>SU</t>
  </si>
  <si>
    <t>PINE</t>
  </si>
  <si>
    <t>VICI</t>
  </si>
  <si>
    <t>USAC</t>
  </si>
  <si>
    <t>TWO</t>
  </si>
  <si>
    <t>LTC</t>
  </si>
  <si>
    <t>QSR</t>
  </si>
  <si>
    <t>CTRE</t>
  </si>
  <si>
    <t>SBRA</t>
  </si>
  <si>
    <t>CQP</t>
  </si>
  <si>
    <t>VGR</t>
  </si>
  <si>
    <t>CTO</t>
  </si>
  <si>
    <t>EFC</t>
  </si>
  <si>
    <t>NEWT</t>
  </si>
  <si>
    <t>TRP</t>
  </si>
  <si>
    <t>MRCC</t>
  </si>
  <si>
    <t>GSBD</t>
  </si>
  <si>
    <t>AFIN</t>
  </si>
  <si>
    <t>UMH</t>
  </si>
  <si>
    <t>ORCC</t>
  </si>
  <si>
    <t>WSO</t>
  </si>
  <si>
    <t>ORC</t>
  </si>
  <si>
    <t>SRC</t>
  </si>
  <si>
    <t>FCPT</t>
  </si>
  <si>
    <t>AQN</t>
  </si>
  <si>
    <t>HR</t>
  </si>
  <si>
    <t>CWCO</t>
  </si>
  <si>
    <t>EPRT</t>
  </si>
  <si>
    <t>EXR</t>
  </si>
  <si>
    <t>NYMT</t>
  </si>
  <si>
    <t>AAT</t>
  </si>
  <si>
    <t>GNL</t>
  </si>
  <si>
    <t>VOD</t>
  </si>
  <si>
    <t>SSREY</t>
  </si>
  <si>
    <t>KNOP</t>
  </si>
  <si>
    <t>PMT</t>
  </si>
  <si>
    <t>KREF</t>
  </si>
  <si>
    <t>NLY</t>
  </si>
  <si>
    <t>NRZ</t>
  </si>
  <si>
    <t>CHCT</t>
  </si>
  <si>
    <t>NTST</t>
  </si>
  <si>
    <t>EPR</t>
  </si>
  <si>
    <t>E</t>
  </si>
  <si>
    <t>NMFC</t>
  </si>
  <si>
    <t>ACRE</t>
  </si>
  <si>
    <t>ILPT</t>
  </si>
  <si>
    <t>GBDC</t>
  </si>
  <si>
    <t>DTEGY</t>
  </si>
  <si>
    <t>EIFZF</t>
  </si>
  <si>
    <t>XRX</t>
  </si>
  <si>
    <t>FDUS</t>
  </si>
  <si>
    <t>SACH</t>
  </si>
  <si>
    <t>GSK</t>
  </si>
  <si>
    <t>LWSCF</t>
  </si>
  <si>
    <t>CBRL</t>
  </si>
  <si>
    <t>ARR</t>
  </si>
  <si>
    <t>TSLX</t>
  </si>
  <si>
    <t>SFL</t>
  </si>
  <si>
    <t>IDEXY</t>
  </si>
  <si>
    <t>VST</t>
  </si>
  <si>
    <t>CSWC</t>
  </si>
  <si>
    <t>GMRE</t>
  </si>
  <si>
    <t>NSA</t>
  </si>
  <si>
    <t>STWD</t>
  </si>
  <si>
    <t>BRMK</t>
  </si>
  <si>
    <t>NEM</t>
  </si>
  <si>
    <t>EIC</t>
  </si>
  <si>
    <t>BEP</t>
  </si>
  <si>
    <t>VTR</t>
  </si>
  <si>
    <t>GLPI</t>
  </si>
  <si>
    <t>STOR</t>
  </si>
  <si>
    <t>PFLT</t>
  </si>
  <si>
    <t>VNO</t>
  </si>
  <si>
    <t>ARCC</t>
  </si>
  <si>
    <t>MAIN</t>
  </si>
  <si>
    <t>VIA</t>
  </si>
  <si>
    <t>DX</t>
  </si>
  <si>
    <t>HRZN</t>
  </si>
  <si>
    <t>AM</t>
  </si>
  <si>
    <t>TPVG</t>
  </si>
  <si>
    <t>VLO</t>
  </si>
  <si>
    <t>DANOY</t>
  </si>
  <si>
    <t>GOOD</t>
  </si>
  <si>
    <t>SUNS</t>
  </si>
  <si>
    <t>HTA</t>
  </si>
  <si>
    <t>ABEV</t>
  </si>
  <si>
    <t>CIM</t>
  </si>
  <si>
    <t>APTS</t>
  </si>
  <si>
    <t>HTGC</t>
  </si>
  <si>
    <t>BX</t>
  </si>
  <si>
    <t>ARI</t>
  </si>
  <si>
    <t>SCM</t>
  </si>
  <si>
    <t>BCE</t>
  </si>
  <si>
    <t>EVA</t>
  </si>
  <si>
    <t>OXSQ</t>
  </si>
  <si>
    <t>PBA</t>
  </si>
  <si>
    <t>ACC</t>
  </si>
  <si>
    <t>BGS</t>
  </si>
  <si>
    <t>LSI</t>
  </si>
  <si>
    <t>GWRS</t>
  </si>
  <si>
    <t>SBR</t>
  </si>
  <si>
    <t>BKR</t>
  </si>
  <si>
    <t>BXMT</t>
  </si>
  <si>
    <t>OLP</t>
  </si>
  <si>
    <t>PRT</t>
  </si>
  <si>
    <t>IRT</t>
  </si>
  <si>
    <t>LADR</t>
  </si>
  <si>
    <t>SJT</t>
  </si>
  <si>
    <t>PLYM</t>
  </si>
  <si>
    <t>SJR</t>
  </si>
  <si>
    <t>PSEC</t>
  </si>
  <si>
    <t>IRM</t>
  </si>
  <si>
    <t>EQR</t>
  </si>
  <si>
    <t>CRT</t>
  </si>
  <si>
    <t>PEAK</t>
  </si>
  <si>
    <t>STAG</t>
  </si>
  <si>
    <t>UDR</t>
  </si>
  <si>
    <t>GAIN</t>
  </si>
  <si>
    <t>MNR</t>
  </si>
  <si>
    <t>GLAD</t>
  </si>
  <si>
    <t>ABR</t>
  </si>
  <si>
    <t>UBA</t>
  </si>
  <si>
    <t>MPC</t>
  </si>
  <si>
    <t>PPRQF</t>
  </si>
  <si>
    <t>DREUF</t>
  </si>
  <si>
    <t>CMP</t>
  </si>
  <si>
    <t>DRETF</t>
  </si>
  <si>
    <t>WELL</t>
  </si>
  <si>
    <t>LAMR</t>
  </si>
  <si>
    <t>LAND</t>
  </si>
  <si>
    <t>AB</t>
  </si>
  <si>
    <t>HP</t>
  </si>
  <si>
    <t>PBT</t>
  </si>
  <si>
    <t>GROW</t>
  </si>
  <si>
    <t>PPL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</si>
  <si>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</si>
  <si>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</si>
  <si>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</si>
  <si>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</si>
  <si>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</si>
  <si>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</si>
  <si>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</si>
  <si>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</si>
  <si>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</si>
  <si>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</si>
  <si>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</si>
  <si>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</si>
  <si>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</si>
  <si>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</si>
  <si>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</si>
  <si>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</si>
  <si>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</si>
  <si>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</si>
  <si>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</si>
  <si>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</si>
  <si>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</si>
  <si>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</si>
  <si>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Financial Services</t>
  </si>
  <si>
    <t>Consumer Cyclical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</si>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</sst>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62.49</v>
      </c>
      <c r="D2">
        <v>75</v>
      </c>
      <c r="E2">
        <v>0.8332000000000001</v>
      </c>
      <c r="F2">
        <v>0.004320691310609697</v>
      </c>
      <c r="G2">
        <v>0.03717048091636643</v>
      </c>
      <c r="H2">
        <v>0.18</v>
      </c>
      <c r="I2">
        <v>0.2273092486801525</v>
      </c>
      <c r="J2" t="s">
        <v>775</v>
      </c>
      <c r="K2" t="s">
        <v>370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-0.179963379544859</v>
      </c>
      <c r="R2" t="s">
        <v>779</v>
      </c>
      <c r="S2" t="s">
        <v>783</v>
      </c>
      <c r="T2">
        <v>601685.263677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59.62</v>
      </c>
      <c r="D3">
        <v>101</v>
      </c>
      <c r="E3">
        <v>0.5902970297029703</v>
      </c>
      <c r="F3">
        <v>0.03287487420328749</v>
      </c>
      <c r="G3">
        <v>0.1111837468856771</v>
      </c>
      <c r="H3">
        <v>0.03</v>
      </c>
      <c r="I3">
        <v>0.165926702712847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-0.036264539951318</v>
      </c>
      <c r="R3" t="s">
        <v>779</v>
      </c>
      <c r="S3" t="s">
        <v>784</v>
      </c>
      <c r="T3">
        <v>131913.498487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163.21</v>
      </c>
      <c r="D4">
        <v>174</v>
      </c>
      <c r="E4">
        <v>0.9379885057471264</v>
      </c>
      <c r="F4">
        <v>0.01372464922492494</v>
      </c>
      <c r="G4">
        <v>0.01288583276783561</v>
      </c>
      <c r="H4">
        <v>0.1</v>
      </c>
      <c r="I4">
        <v>0.1255660460936243</v>
      </c>
      <c r="J4" t="s">
        <v>775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0.177355229164296</v>
      </c>
      <c r="R4" t="s">
        <v>779</v>
      </c>
      <c r="S4" t="s">
        <v>785</v>
      </c>
      <c r="T4">
        <v>27176.249845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48.87</v>
      </c>
      <c r="D5">
        <v>61</v>
      </c>
      <c r="E5">
        <v>0.8011475409836065</v>
      </c>
      <c r="F5">
        <v>0.01555146306527522</v>
      </c>
      <c r="G5">
        <v>0.04533983193810287</v>
      </c>
      <c r="H5">
        <v>0.05</v>
      </c>
      <c r="I5">
        <v>0.1090747227597257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0.283047389507288</v>
      </c>
      <c r="R5" t="s">
        <v>779</v>
      </c>
      <c r="S5" t="s">
        <v>786</v>
      </c>
      <c r="T5">
        <v>3264.557153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62.12</v>
      </c>
      <c r="D6">
        <v>64</v>
      </c>
      <c r="E6">
        <v>0.970625</v>
      </c>
      <c r="F6">
        <v>0.01416613007083065</v>
      </c>
      <c r="G6">
        <v>0.005980831192947456</v>
      </c>
      <c r="H6">
        <v>0.09</v>
      </c>
      <c r="I6">
        <v>0.1086469069128071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0.183178307512556</v>
      </c>
      <c r="R6" t="s">
        <v>779</v>
      </c>
      <c r="S6" t="s">
        <v>786</v>
      </c>
      <c r="T6">
        <v>7735.797696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HYPERLINK("https://www.suredividend.com/sure-analysis-NOC/","Northrop Grumman Corp.")</f>
        <v>0</v>
      </c>
      <c r="C7">
        <v>360</v>
      </c>
      <c r="D7">
        <v>381</v>
      </c>
      <c r="E7">
        <v>0.9448818897637795</v>
      </c>
      <c r="F7">
        <v>0.01744444444444445</v>
      </c>
      <c r="G7">
        <v>0.01140359965138504</v>
      </c>
      <c r="H7">
        <v>0.08</v>
      </c>
      <c r="I7">
        <v>0.1074226014466826</v>
      </c>
      <c r="J7" t="s">
        <v>775</v>
      </c>
      <c r="K7" t="s">
        <v>776</v>
      </c>
      <c r="L7">
        <v>25.4</v>
      </c>
      <c r="M7">
        <v>6.28</v>
      </c>
      <c r="N7">
        <v>0.247244094488189</v>
      </c>
      <c r="O7">
        <v>18</v>
      </c>
      <c r="P7">
        <v>0.0800613160089807</v>
      </c>
      <c r="Q7">
        <v>0.169304877267692</v>
      </c>
      <c r="R7" t="s">
        <v>779</v>
      </c>
      <c r="S7" t="s">
        <v>786</v>
      </c>
      <c r="T7">
        <v>57018.063305</v>
      </c>
      <c r="U7" s="2">
        <v>44504</v>
      </c>
      <c r="V7" t="s">
        <v>799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29.18</v>
      </c>
      <c r="D8">
        <v>34</v>
      </c>
      <c r="E8">
        <v>0.8582352941176471</v>
      </c>
      <c r="F8">
        <v>0.02981494174091844</v>
      </c>
      <c r="G8">
        <v>0.03104762429874031</v>
      </c>
      <c r="H8">
        <v>0.05</v>
      </c>
      <c r="I8">
        <v>0.1049808710719287</v>
      </c>
      <c r="J8" t="s">
        <v>775</v>
      </c>
      <c r="K8" t="s">
        <v>775</v>
      </c>
      <c r="L8">
        <v>2.1</v>
      </c>
      <c r="M8">
        <v>0.87</v>
      </c>
      <c r="N8">
        <v>0.4142857142857143</v>
      </c>
      <c r="O8">
        <v>31</v>
      </c>
      <c r="P8">
        <v>0.02409763832975087</v>
      </c>
      <c r="Q8">
        <v>0.196855872048238</v>
      </c>
      <c r="R8" t="s">
        <v>779</v>
      </c>
      <c r="S8" t="s">
        <v>787</v>
      </c>
      <c r="T8">
        <v>5850.253877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HYPERLINK("https://www.suredividend.com/sure-analysis-FDX/","Fedex Corp")</f>
        <v>0</v>
      </c>
      <c r="C9">
        <v>252.3</v>
      </c>
      <c r="D9">
        <v>296</v>
      </c>
      <c r="E9">
        <v>0.852364864864865</v>
      </c>
      <c r="F9">
        <v>0.01189060642092747</v>
      </c>
      <c r="G9">
        <v>0.03246393941326731</v>
      </c>
      <c r="H9">
        <v>0.06</v>
      </c>
      <c r="I9">
        <v>0.1041356474651216</v>
      </c>
      <c r="J9" t="s">
        <v>775</v>
      </c>
      <c r="K9" t="s">
        <v>370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-0.056798293112524</v>
      </c>
      <c r="R9" t="s">
        <v>779</v>
      </c>
      <c r="S9" t="s">
        <v>786</v>
      </c>
      <c r="T9">
        <v>67443.236217</v>
      </c>
      <c r="U9" s="2">
        <v>44464</v>
      </c>
      <c r="V9" t="s">
        <v>794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42.72</v>
      </c>
      <c r="D10">
        <v>43</v>
      </c>
      <c r="E10">
        <v>0.9934883720930232</v>
      </c>
      <c r="F10">
        <v>0.01310861423220974</v>
      </c>
      <c r="G10">
        <v>0.001307438161351371</v>
      </c>
      <c r="H10">
        <v>0.09</v>
      </c>
      <c r="I10">
        <v>0.1035442556465065</v>
      </c>
      <c r="J10" t="s">
        <v>775</v>
      </c>
      <c r="K10" t="s">
        <v>370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0.218972013691143</v>
      </c>
      <c r="R10" t="s">
        <v>779</v>
      </c>
      <c r="S10" t="s">
        <v>787</v>
      </c>
      <c r="T10">
        <v>4679.185505</v>
      </c>
      <c r="U10" s="2">
        <v>44500</v>
      </c>
      <c r="V10" t="s">
        <v>794</v>
      </c>
    </row>
    <row r="11" spans="1:22">
      <c r="A11" s="1" t="s">
        <v>31</v>
      </c>
      <c r="B11">
        <f>HYPERLINK("https://www.suredividend.com/sure-analysis-WBA/","Walgreens Boots Alliance Inc")</f>
        <v>0</v>
      </c>
      <c r="C11">
        <v>49.22</v>
      </c>
      <c r="D11">
        <v>54</v>
      </c>
      <c r="E11">
        <v>0.9114814814814814</v>
      </c>
      <c r="F11">
        <v>0.03880536367330353</v>
      </c>
      <c r="G11">
        <v>0.01870967332202622</v>
      </c>
      <c r="H11">
        <v>0.05</v>
      </c>
      <c r="I11">
        <v>0.102040728246201</v>
      </c>
      <c r="J11" t="s">
        <v>775</v>
      </c>
      <c r="K11" t="s">
        <v>775</v>
      </c>
      <c r="L11">
        <v>5.35</v>
      </c>
      <c r="M11">
        <v>1.91</v>
      </c>
      <c r="N11">
        <v>0.3570093457943925</v>
      </c>
      <c r="O11">
        <v>46</v>
      </c>
      <c r="P11">
        <v>0.0501982537579746</v>
      </c>
      <c r="Q11">
        <v>0.218459389196195</v>
      </c>
      <c r="R11" t="s">
        <v>779</v>
      </c>
      <c r="S11" t="s">
        <v>784</v>
      </c>
      <c r="T11">
        <v>42882.436215</v>
      </c>
      <c r="U11" s="2">
        <v>44483</v>
      </c>
      <c r="V11" t="s">
        <v>800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243.68</v>
      </c>
      <c r="D12">
        <v>231</v>
      </c>
      <c r="E12">
        <v>1.054891774891775</v>
      </c>
      <c r="F12">
        <v>0.01428102429415627</v>
      </c>
      <c r="G12">
        <v>-0.01063072587068947</v>
      </c>
      <c r="H12">
        <v>0.1</v>
      </c>
      <c r="I12">
        <v>0.1016414592840986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0.018593931267452</v>
      </c>
      <c r="R12" t="s">
        <v>779</v>
      </c>
      <c r="S12" t="s">
        <v>784</v>
      </c>
      <c r="T12">
        <v>70074.40392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66.58</v>
      </c>
      <c r="D13">
        <v>74</v>
      </c>
      <c r="E13">
        <v>0.8997297297297298</v>
      </c>
      <c r="F13">
        <v>0.02222889756683689</v>
      </c>
      <c r="G13">
        <v>0.02135703773499253</v>
      </c>
      <c r="H13">
        <v>0.06</v>
      </c>
      <c r="I13">
        <v>0.09980813021030177</v>
      </c>
      <c r="J13" t="s">
        <v>775</v>
      </c>
      <c r="K13" t="s">
        <v>776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0.356556449455772</v>
      </c>
      <c r="R13" t="s">
        <v>779</v>
      </c>
      <c r="S13" t="s">
        <v>788</v>
      </c>
      <c r="T13">
        <v>36883.962272</v>
      </c>
      <c r="U13" s="2">
        <v>44507</v>
      </c>
      <c r="V13" t="s">
        <v>796</v>
      </c>
    </row>
    <row r="14" spans="1:22">
      <c r="A14" s="1" t="s">
        <v>34</v>
      </c>
      <c r="B14">
        <f>HYPERLINK("https://www.suredividend.com/sure-analysis-BANF/","Bancfirst Corp.")</f>
        <v>0</v>
      </c>
      <c r="C14">
        <v>67.53</v>
      </c>
      <c r="D14">
        <v>74</v>
      </c>
      <c r="E14">
        <v>0.9125675675675676</v>
      </c>
      <c r="F14">
        <v>0.02132385606397157</v>
      </c>
      <c r="G14">
        <v>0.01846707572584783</v>
      </c>
      <c r="H14">
        <v>0.06</v>
      </c>
      <c r="I14">
        <v>0.09773243506254747</v>
      </c>
      <c r="J14" t="s">
        <v>775</v>
      </c>
      <c r="K14" t="s">
        <v>776</v>
      </c>
      <c r="L14">
        <v>4.96</v>
      </c>
      <c r="M14">
        <v>1.44</v>
      </c>
      <c r="N14">
        <v>0.2903225806451613</v>
      </c>
      <c r="O14">
        <v>28</v>
      </c>
      <c r="P14">
        <v>0.06032490771095733</v>
      </c>
      <c r="Q14">
        <v>0.305820293795084</v>
      </c>
      <c r="R14" t="s">
        <v>779</v>
      </c>
      <c r="S14" t="s">
        <v>789</v>
      </c>
      <c r="T14">
        <v>2202.859036</v>
      </c>
      <c r="U14" s="2">
        <v>44492</v>
      </c>
      <c r="V14" t="s">
        <v>796</v>
      </c>
    </row>
    <row r="15" spans="1:22">
      <c r="A15" s="1" t="s">
        <v>35</v>
      </c>
      <c r="B15">
        <f>HYPERLINK("https://www.suredividend.com/sure-analysis-CHRW/","C.H. Robinson Worldwide, Inc.")</f>
        <v>0</v>
      </c>
      <c r="C15">
        <v>95.62</v>
      </c>
      <c r="D15">
        <v>100</v>
      </c>
      <c r="E15">
        <v>0.9562</v>
      </c>
      <c r="F15">
        <v>0.02164819075507216</v>
      </c>
      <c r="G15">
        <v>0.008997876245468994</v>
      </c>
      <c r="H15">
        <v>0.07000000000000001</v>
      </c>
      <c r="I15">
        <v>0.09701640412962997</v>
      </c>
      <c r="J15" t="s">
        <v>775</v>
      </c>
      <c r="K15" t="s">
        <v>776</v>
      </c>
      <c r="L15">
        <v>5.55</v>
      </c>
      <c r="M15">
        <v>2.07</v>
      </c>
      <c r="N15">
        <v>0.3729729729729729</v>
      </c>
      <c r="O15">
        <v>22</v>
      </c>
      <c r="P15">
        <v>0.04012620718096094</v>
      </c>
      <c r="Q15">
        <v>0.05036271918220801</v>
      </c>
      <c r="R15" t="s">
        <v>779</v>
      </c>
      <c r="S15" t="s">
        <v>786</v>
      </c>
      <c r="T15">
        <v>12282.515284</v>
      </c>
      <c r="U15" s="2">
        <v>44495</v>
      </c>
      <c r="V15" t="s">
        <v>796</v>
      </c>
    </row>
    <row r="16" spans="1:22">
      <c r="A16" s="1" t="s">
        <v>36</v>
      </c>
      <c r="B16">
        <f>HYPERLINK("https://www.suredividend.com/sure-analysis-PII/","Polaris Inc")</f>
        <v>0</v>
      </c>
      <c r="C16">
        <v>125.49</v>
      </c>
      <c r="D16">
        <v>144</v>
      </c>
      <c r="E16">
        <v>0.8714583333333333</v>
      </c>
      <c r="F16">
        <v>0.02008128137700215</v>
      </c>
      <c r="G16">
        <v>0.02789954675172468</v>
      </c>
      <c r="H16">
        <v>0.05</v>
      </c>
      <c r="I16">
        <v>0.0966651861065948</v>
      </c>
      <c r="J16" t="s">
        <v>775</v>
      </c>
      <c r="K16" t="s">
        <v>776</v>
      </c>
      <c r="L16">
        <v>9</v>
      </c>
      <c r="M16">
        <v>2.52</v>
      </c>
      <c r="N16">
        <v>0.28</v>
      </c>
      <c r="O16">
        <v>26</v>
      </c>
      <c r="P16">
        <v>0.06483841633998533</v>
      </c>
      <c r="Q16">
        <v>0.362128977444021</v>
      </c>
      <c r="R16" t="s">
        <v>779</v>
      </c>
      <c r="S16" t="s">
        <v>790</v>
      </c>
      <c r="T16">
        <v>7539.708804</v>
      </c>
      <c r="U16" s="2">
        <v>44496</v>
      </c>
      <c r="V16" t="s">
        <v>800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26.54</v>
      </c>
      <c r="D17">
        <v>32</v>
      </c>
      <c r="E17">
        <v>0.829375</v>
      </c>
      <c r="F17">
        <v>0.0452147701582517</v>
      </c>
      <c r="G17">
        <v>0.03812538762941831</v>
      </c>
      <c r="H17">
        <v>0.02</v>
      </c>
      <c r="I17">
        <v>0.09450534093182994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0.325169210451278</v>
      </c>
      <c r="R17" t="s">
        <v>779</v>
      </c>
      <c r="S17" t="s">
        <v>789</v>
      </c>
      <c r="T17">
        <v>5415.968102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HYPERLINK("https://www.suredividend.com/sure-analysis-SYK/","Stryker Corp.")</f>
        <v>0</v>
      </c>
      <c r="C18">
        <v>261.89</v>
      </c>
      <c r="D18">
        <v>223</v>
      </c>
      <c r="E18">
        <v>1.174394618834081</v>
      </c>
      <c r="F18">
        <v>0.009622360533048227</v>
      </c>
      <c r="G18">
        <v>-0.03163922467775127</v>
      </c>
      <c r="H18">
        <v>0.12</v>
      </c>
      <c r="I18">
        <v>0.09428312706353847</v>
      </c>
      <c r="J18" t="s">
        <v>775</v>
      </c>
      <c r="K18" t="s">
        <v>370</v>
      </c>
      <c r="L18">
        <v>9.119999999999999</v>
      </c>
      <c r="M18">
        <v>2.52</v>
      </c>
      <c r="N18">
        <v>0.2763157894736842</v>
      </c>
      <c r="O18">
        <v>27</v>
      </c>
      <c r="P18">
        <v>0.1199444602155453</v>
      </c>
      <c r="Q18">
        <v>0.151149189527216</v>
      </c>
      <c r="R18" t="s">
        <v>779</v>
      </c>
      <c r="S18" t="s">
        <v>784</v>
      </c>
      <c r="T18">
        <v>99681.62854000001</v>
      </c>
      <c r="U18" s="2">
        <v>44500</v>
      </c>
      <c r="V18" t="s">
        <v>795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54.21</v>
      </c>
      <c r="D19">
        <v>62</v>
      </c>
      <c r="E19">
        <v>0.8743548387096775</v>
      </c>
      <c r="F19">
        <v>0.02545655783065855</v>
      </c>
      <c r="G19">
        <v>0.02721761087968022</v>
      </c>
      <c r="H19">
        <v>0.045</v>
      </c>
      <c r="I19">
        <v>0.09363853829223956</v>
      </c>
      <c r="J19" t="s">
        <v>775</v>
      </c>
      <c r="K19" t="s">
        <v>776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0.669725496641374</v>
      </c>
      <c r="R19" t="s">
        <v>779</v>
      </c>
      <c r="S19" t="s">
        <v>783</v>
      </c>
      <c r="T19">
        <v>3059.721672</v>
      </c>
      <c r="U19" s="2">
        <v>44453</v>
      </c>
      <c r="V19" t="s">
        <v>797</v>
      </c>
    </row>
    <row r="20" spans="1:22">
      <c r="A20" s="1" t="s">
        <v>40</v>
      </c>
      <c r="B20">
        <f>HYPERLINK("https://www.suredividend.com/sure-analysis-RGLD/","Royal Gold, Inc.")</f>
        <v>0</v>
      </c>
      <c r="C20">
        <v>107.34</v>
      </c>
      <c r="D20">
        <v>128</v>
      </c>
      <c r="E20">
        <v>0.83859375</v>
      </c>
      <c r="F20">
        <v>0.0111794298490777</v>
      </c>
      <c r="G20">
        <v>0.03583283996558606</v>
      </c>
      <c r="H20">
        <v>0.045</v>
      </c>
      <c r="I20">
        <v>0.09287970673474799</v>
      </c>
      <c r="J20" t="s">
        <v>775</v>
      </c>
      <c r="K20" t="s">
        <v>370</v>
      </c>
      <c r="L20">
        <v>4.18</v>
      </c>
      <c r="M20">
        <v>1.2</v>
      </c>
      <c r="N20">
        <v>0.2870813397129187</v>
      </c>
      <c r="O20">
        <v>20</v>
      </c>
      <c r="P20">
        <v>0.0904307661344419</v>
      </c>
      <c r="Q20">
        <v>-0.090732475446964</v>
      </c>
      <c r="R20" t="s">
        <v>779</v>
      </c>
      <c r="S20" t="s">
        <v>787</v>
      </c>
      <c r="T20">
        <v>7004.155323</v>
      </c>
      <c r="U20" s="2">
        <v>44508</v>
      </c>
      <c r="V20" t="s">
        <v>801</v>
      </c>
    </row>
    <row r="21" spans="1:22">
      <c r="A21" s="1" t="s">
        <v>41</v>
      </c>
      <c r="B21">
        <f>HYPERLINK("https://www.suredividend.com/sure-analysis-NIDB/","Northeast Indiana Bancorp Inc.")</f>
        <v>0</v>
      </c>
      <c r="C21">
        <v>44.4601</v>
      </c>
      <c r="D21">
        <v>54</v>
      </c>
      <c r="E21">
        <v>0.8233351851851851</v>
      </c>
      <c r="F21">
        <v>0.02699049259898201</v>
      </c>
      <c r="G21">
        <v>0.03964403212840328</v>
      </c>
      <c r="H21">
        <v>0.03</v>
      </c>
      <c r="I21">
        <v>0.09238681510335223</v>
      </c>
      <c r="J21" t="s">
        <v>775</v>
      </c>
      <c r="K21" t="s">
        <v>775</v>
      </c>
      <c r="L21">
        <v>6</v>
      </c>
      <c r="M21">
        <v>1.2</v>
      </c>
      <c r="N21">
        <v>0.2</v>
      </c>
      <c r="O21">
        <v>27</v>
      </c>
      <c r="P21">
        <v>0.02983277847878951</v>
      </c>
      <c r="Q21">
        <v>0.235002777777777</v>
      </c>
      <c r="R21" t="s">
        <v>779</v>
      </c>
      <c r="S21" t="s">
        <v>789</v>
      </c>
      <c r="T21">
        <v>53.484833</v>
      </c>
      <c r="U21" s="2">
        <v>44503</v>
      </c>
      <c r="V21" t="s">
        <v>795</v>
      </c>
    </row>
    <row r="22" spans="1:22">
      <c r="A22" s="1" t="s">
        <v>42</v>
      </c>
      <c r="B22">
        <f>HYPERLINK("https://www.suredividend.com/sure-analysis-CAH/","Cardinal Health, Inc.")</f>
        <v>0</v>
      </c>
      <c r="C22">
        <v>50.46</v>
      </c>
      <c r="D22">
        <v>58</v>
      </c>
      <c r="E22">
        <v>0.87</v>
      </c>
      <c r="F22">
        <v>0.03884264764169639</v>
      </c>
      <c r="G22">
        <v>0.02824391826709793</v>
      </c>
      <c r="H22">
        <v>0.03</v>
      </c>
      <c r="I22">
        <v>0.09175301750838649</v>
      </c>
      <c r="J22" t="s">
        <v>775</v>
      </c>
      <c r="K22" t="s">
        <v>775</v>
      </c>
      <c r="L22">
        <v>5.75</v>
      </c>
      <c r="M22">
        <v>1.96</v>
      </c>
      <c r="N22">
        <v>0.3408695652173913</v>
      </c>
      <c r="O22">
        <v>34</v>
      </c>
      <c r="P22">
        <v>0.03959498820755258</v>
      </c>
      <c r="Q22">
        <v>-0.07229899961946901</v>
      </c>
      <c r="R22" t="s">
        <v>779</v>
      </c>
      <c r="S22" t="s">
        <v>784</v>
      </c>
      <c r="T22">
        <v>14495.174823</v>
      </c>
      <c r="U22" s="2">
        <v>44511</v>
      </c>
      <c r="V22" t="s">
        <v>800</v>
      </c>
    </row>
    <row r="23" spans="1:22">
      <c r="A23" s="1" t="s">
        <v>43</v>
      </c>
      <c r="B23">
        <f>HYPERLINK("https://www.suredividend.com/sure-analysis-EFSI/","Eagle Financial Services, Inc.")</f>
        <v>0</v>
      </c>
      <c r="C23">
        <v>35.44</v>
      </c>
      <c r="D23">
        <v>37</v>
      </c>
      <c r="E23">
        <v>0.9578378378378378</v>
      </c>
      <c r="F23">
        <v>0.03160270880361174</v>
      </c>
      <c r="G23">
        <v>0.008652576381086741</v>
      </c>
      <c r="H23">
        <v>0.055</v>
      </c>
      <c r="I23">
        <v>0.09097261420363201</v>
      </c>
      <c r="J23" t="s">
        <v>775</v>
      </c>
      <c r="K23" t="s">
        <v>775</v>
      </c>
      <c r="L23">
        <v>3.4</v>
      </c>
      <c r="M23">
        <v>1.12</v>
      </c>
      <c r="N23">
        <v>0.3294117647058824</v>
      </c>
      <c r="O23">
        <v>35</v>
      </c>
      <c r="P23">
        <v>0.04563955259127317</v>
      </c>
      <c r="Q23">
        <v>0.332882018879987</v>
      </c>
      <c r="R23" t="s">
        <v>779</v>
      </c>
      <c r="S23" t="s">
        <v>789</v>
      </c>
      <c r="T23">
        <v>122.265129</v>
      </c>
      <c r="U23" s="2">
        <v>44505</v>
      </c>
      <c r="V23" t="s">
        <v>797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116.84</v>
      </c>
      <c r="D24">
        <v>127</v>
      </c>
      <c r="E24">
        <v>0.92</v>
      </c>
      <c r="F24">
        <v>0.04827114002054091</v>
      </c>
      <c r="G24">
        <v>0.01681614782195462</v>
      </c>
      <c r="H24">
        <v>0.03</v>
      </c>
      <c r="I24">
        <v>0.09022153584747783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0.237687406951238</v>
      </c>
      <c r="R24" t="s">
        <v>779</v>
      </c>
      <c r="S24" t="s">
        <v>784</v>
      </c>
      <c r="T24">
        <v>206706.521978</v>
      </c>
      <c r="U24" s="2">
        <v>44504</v>
      </c>
      <c r="V24" t="s">
        <v>797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96.20999999999999</v>
      </c>
      <c r="D25">
        <v>97</v>
      </c>
      <c r="E25">
        <v>0.9918556701030927</v>
      </c>
      <c r="F25">
        <v>0.02827148945016111</v>
      </c>
      <c r="G25">
        <v>0.001636873443247477</v>
      </c>
      <c r="H25">
        <v>0.06</v>
      </c>
      <c r="I25">
        <v>0.08855283107072864</v>
      </c>
      <c r="J25" t="s">
        <v>775</v>
      </c>
      <c r="K25" t="s">
        <v>776</v>
      </c>
      <c r="L25">
        <v>5.1</v>
      </c>
      <c r="M25">
        <v>2.72</v>
      </c>
      <c r="N25">
        <v>0.5333333333333334</v>
      </c>
      <c r="O25">
        <v>38</v>
      </c>
      <c r="P25">
        <v>0.0801851873035635</v>
      </c>
      <c r="Q25">
        <v>-0.047552510367335</v>
      </c>
      <c r="R25" t="s">
        <v>779</v>
      </c>
      <c r="S25" t="s">
        <v>791</v>
      </c>
      <c r="T25">
        <v>12481.367285</v>
      </c>
      <c r="U25" s="2">
        <v>44427</v>
      </c>
      <c r="V25" t="s">
        <v>798</v>
      </c>
    </row>
    <row r="26" spans="1:22">
      <c r="A26" s="1" t="s">
        <v>46</v>
      </c>
      <c r="B26">
        <f>HYPERLINK("https://www.suredividend.com/sure-analysis-JNJ/","Johnson &amp; Johnson")</f>
        <v>0</v>
      </c>
      <c r="C26">
        <v>163.52</v>
      </c>
      <c r="D26">
        <v>167</v>
      </c>
      <c r="E26">
        <v>0.9791616766467066</v>
      </c>
      <c r="F26">
        <v>0.02592954990215264</v>
      </c>
      <c r="G26">
        <v>0.004220582757890723</v>
      </c>
      <c r="H26">
        <v>0.06</v>
      </c>
      <c r="I26">
        <v>0.08757340590351226</v>
      </c>
      <c r="J26" t="s">
        <v>775</v>
      </c>
      <c r="K26" t="s">
        <v>775</v>
      </c>
      <c r="L26">
        <v>9.800000000000001</v>
      </c>
      <c r="M26">
        <v>4.24</v>
      </c>
      <c r="N26">
        <v>0.4326530612244898</v>
      </c>
      <c r="O26">
        <v>59</v>
      </c>
      <c r="P26">
        <v>0.05984764821935884</v>
      </c>
      <c r="Q26">
        <v>0.128989882126915</v>
      </c>
      <c r="R26" t="s">
        <v>779</v>
      </c>
      <c r="S26" t="s">
        <v>784</v>
      </c>
      <c r="T26">
        <v>434404.825855</v>
      </c>
      <c r="U26" s="2">
        <v>44489</v>
      </c>
      <c r="V26" t="s">
        <v>795</v>
      </c>
    </row>
    <row r="27" spans="1:22">
      <c r="A27" s="1" t="s">
        <v>47</v>
      </c>
      <c r="B27">
        <f>HYPERLINK("https://www.suredividend.com/sure-analysis-BKH/","Black Hills Corporation")</f>
        <v>0</v>
      </c>
      <c r="C27">
        <v>65.52500000000001</v>
      </c>
      <c r="D27">
        <v>70</v>
      </c>
      <c r="E27">
        <v>0.9360714285714287</v>
      </c>
      <c r="F27">
        <v>0.0363220144982831</v>
      </c>
      <c r="G27">
        <v>0.01330037197828604</v>
      </c>
      <c r="H27">
        <v>0.04</v>
      </c>
      <c r="I27">
        <v>0.08599817872795779</v>
      </c>
      <c r="J27" t="s">
        <v>775</v>
      </c>
      <c r="K27" t="s">
        <v>775</v>
      </c>
      <c r="L27">
        <v>3.9</v>
      </c>
      <c r="M27">
        <v>2.38</v>
      </c>
      <c r="N27">
        <v>0.6102564102564102</v>
      </c>
      <c r="O27">
        <v>50</v>
      </c>
      <c r="P27">
        <v>0.05016931709648742</v>
      </c>
      <c r="Q27">
        <v>0.06662643311527401</v>
      </c>
      <c r="R27" t="s">
        <v>779</v>
      </c>
      <c r="S27" t="s">
        <v>791</v>
      </c>
      <c r="T27">
        <v>4128.756761</v>
      </c>
      <c r="U27" s="2">
        <v>44418</v>
      </c>
      <c r="V27" t="s">
        <v>797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83.8</v>
      </c>
      <c r="D28">
        <v>82</v>
      </c>
      <c r="E28">
        <v>1.021951219512195</v>
      </c>
      <c r="F28">
        <v>0.01193317422434368</v>
      </c>
      <c r="G28">
        <v>-0.004333335932640514</v>
      </c>
      <c r="H28">
        <v>0.08</v>
      </c>
      <c r="I28">
        <v>0.0855004252387086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0.329635860010371</v>
      </c>
      <c r="R28" t="s">
        <v>779</v>
      </c>
      <c r="S28" t="s">
        <v>786</v>
      </c>
      <c r="T28">
        <v>1558.895682</v>
      </c>
      <c r="U28" s="2">
        <v>44510</v>
      </c>
      <c r="V28" t="s">
        <v>797</v>
      </c>
    </row>
    <row r="29" spans="1:22">
      <c r="A29" s="1" t="s">
        <v>49</v>
      </c>
      <c r="B29">
        <f>HYPERLINK("https://www.suredividend.com/sure-analysis-PH/","Parker-Hannifin Corp.")</f>
        <v>0</v>
      </c>
      <c r="C29">
        <v>328.33</v>
      </c>
      <c r="D29">
        <v>289</v>
      </c>
      <c r="E29">
        <v>1.136089965397924</v>
      </c>
      <c r="F29">
        <v>0.01254835074467761</v>
      </c>
      <c r="G29">
        <v>-0.02519565743185348</v>
      </c>
      <c r="H29">
        <v>0.1</v>
      </c>
      <c r="I29">
        <v>0.0847460900795165</v>
      </c>
      <c r="J29" t="s">
        <v>775</v>
      </c>
      <c r="K29" t="s">
        <v>776</v>
      </c>
      <c r="L29">
        <v>17.5</v>
      </c>
      <c r="M29">
        <v>4.12</v>
      </c>
      <c r="N29">
        <v>0.2354285714285714</v>
      </c>
      <c r="O29">
        <v>65</v>
      </c>
      <c r="P29">
        <v>0.10015574926841</v>
      </c>
      <c r="Q29">
        <v>0.306448143005221</v>
      </c>
      <c r="R29" t="s">
        <v>779</v>
      </c>
      <c r="S29" t="s">
        <v>786</v>
      </c>
      <c r="T29">
        <v>42923.994302</v>
      </c>
      <c r="U29" s="2">
        <v>44508</v>
      </c>
      <c r="V29" t="s">
        <v>802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32.96</v>
      </c>
      <c r="D30">
        <v>33</v>
      </c>
      <c r="E30">
        <v>0.9987878787878788</v>
      </c>
      <c r="F30">
        <v>0.02487864077669903</v>
      </c>
      <c r="G30">
        <v>0.0002426007078351056</v>
      </c>
      <c r="H30">
        <v>0.06</v>
      </c>
      <c r="I30">
        <v>0.08283747758776383</v>
      </c>
      <c r="J30" t="s">
        <v>775</v>
      </c>
      <c r="K30" t="s">
        <v>776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-0.211783515259947</v>
      </c>
      <c r="R30" t="s">
        <v>779</v>
      </c>
      <c r="S30" t="s">
        <v>784</v>
      </c>
      <c r="T30">
        <v>19413.796288</v>
      </c>
      <c r="U30" s="2">
        <v>44503</v>
      </c>
      <c r="V30" t="s">
        <v>795</v>
      </c>
    </row>
    <row r="31" spans="1:22">
      <c r="A31" s="1" t="s">
        <v>51</v>
      </c>
      <c r="B31">
        <f>HYPERLINK("https://www.suredividend.com/sure-analysis-LHX/","L3Harris Technologies Inc")</f>
        <v>0</v>
      </c>
      <c r="C31">
        <v>221.23</v>
      </c>
      <c r="D31">
        <v>206</v>
      </c>
      <c r="E31">
        <v>1.073932038834951</v>
      </c>
      <c r="F31">
        <v>0.01844234507074086</v>
      </c>
      <c r="G31">
        <v>-0.01416407521181118</v>
      </c>
      <c r="H31">
        <v>0.08</v>
      </c>
      <c r="I31">
        <v>0.08228909804540674</v>
      </c>
      <c r="J31" t="s">
        <v>775</v>
      </c>
      <c r="K31" t="s">
        <v>776</v>
      </c>
      <c r="L31">
        <v>12.9</v>
      </c>
      <c r="M31">
        <v>4.08</v>
      </c>
      <c r="N31">
        <v>0.3162790697674419</v>
      </c>
      <c r="O31">
        <v>20</v>
      </c>
      <c r="P31">
        <v>0.07982488529298792</v>
      </c>
      <c r="Q31">
        <v>0.15528062358933</v>
      </c>
      <c r="R31" t="s">
        <v>779</v>
      </c>
      <c r="S31" t="s">
        <v>786</v>
      </c>
      <c r="T31">
        <v>43228.470821</v>
      </c>
      <c r="U31" s="2">
        <v>44509</v>
      </c>
      <c r="V31" t="s">
        <v>799</v>
      </c>
    </row>
    <row r="32" spans="1:22">
      <c r="A32" s="1" t="s">
        <v>52</v>
      </c>
      <c r="B32">
        <f>HYPERLINK("https://www.suredividend.com/sure-analysis-SWK/","Stanley Black &amp; Decker Inc")</f>
        <v>0</v>
      </c>
      <c r="C32">
        <v>194.21</v>
      </c>
      <c r="D32">
        <v>182</v>
      </c>
      <c r="E32">
        <v>1.067087912087912</v>
      </c>
      <c r="F32">
        <v>0.01627104680500489</v>
      </c>
      <c r="G32">
        <v>-0.01290270918484016</v>
      </c>
      <c r="H32">
        <v>0.08</v>
      </c>
      <c r="I32">
        <v>0.08156435653436911</v>
      </c>
      <c r="J32" t="s">
        <v>775</v>
      </c>
      <c r="K32" t="s">
        <v>776</v>
      </c>
      <c r="L32">
        <v>11</v>
      </c>
      <c r="M32">
        <v>3.16</v>
      </c>
      <c r="N32">
        <v>0.2872727272727273</v>
      </c>
      <c r="O32">
        <v>54</v>
      </c>
      <c r="P32">
        <v>0.07985683020954282</v>
      </c>
      <c r="Q32">
        <v>0.100133956598957</v>
      </c>
      <c r="R32" t="s">
        <v>779</v>
      </c>
      <c r="S32" t="s">
        <v>786</v>
      </c>
      <c r="T32">
        <v>32039.972583</v>
      </c>
      <c r="U32" s="2">
        <v>44500</v>
      </c>
      <c r="V32" t="s">
        <v>795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121.48</v>
      </c>
      <c r="D33">
        <v>112.03</v>
      </c>
      <c r="E33">
        <v>1.084352405605641</v>
      </c>
      <c r="F33">
        <v>0.02074415541652947</v>
      </c>
      <c r="G33">
        <v>-0.01606613004779012</v>
      </c>
      <c r="H33">
        <v>0.08</v>
      </c>
      <c r="I33">
        <v>0.08090159360830773</v>
      </c>
      <c r="J33" t="s">
        <v>775</v>
      </c>
      <c r="K33" t="s">
        <v>776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0.587819566076591</v>
      </c>
      <c r="R33" t="s">
        <v>779</v>
      </c>
      <c r="S33" t="s">
        <v>789</v>
      </c>
      <c r="T33">
        <v>19680.150086</v>
      </c>
      <c r="U33" s="2">
        <v>44499</v>
      </c>
      <c r="V33" t="s">
        <v>796</v>
      </c>
    </row>
    <row r="34" spans="1:22">
      <c r="A34" s="1" t="s">
        <v>54</v>
      </c>
      <c r="B34">
        <f>HYPERLINK("https://www.suredividend.com/sure-analysis-LEG/","Leggett &amp; Platt, Inc.")</f>
        <v>0</v>
      </c>
      <c r="C34">
        <v>44.56</v>
      </c>
      <c r="D34">
        <v>44</v>
      </c>
      <c r="E34">
        <v>1.012727272727273</v>
      </c>
      <c r="F34">
        <v>0.03770197486535009</v>
      </c>
      <c r="G34">
        <v>-0.002526196122745517</v>
      </c>
      <c r="H34">
        <v>0.05</v>
      </c>
      <c r="I34">
        <v>0.08044562971539126</v>
      </c>
      <c r="J34" t="s">
        <v>775</v>
      </c>
      <c r="K34" t="s">
        <v>775</v>
      </c>
      <c r="L34">
        <v>2.75</v>
      </c>
      <c r="M34">
        <v>1.68</v>
      </c>
      <c r="N34">
        <v>0.6109090909090908</v>
      </c>
      <c r="O34">
        <v>48</v>
      </c>
      <c r="P34">
        <v>0.03959498820755258</v>
      </c>
      <c r="Q34">
        <v>0.101580291727144</v>
      </c>
      <c r="R34" t="s">
        <v>779</v>
      </c>
      <c r="S34" t="s">
        <v>790</v>
      </c>
      <c r="T34">
        <v>5941.954171</v>
      </c>
      <c r="U34" s="2">
        <v>44506</v>
      </c>
      <c r="V34" t="s">
        <v>797</v>
      </c>
    </row>
    <row r="35" spans="1:22">
      <c r="A35" s="1" t="s">
        <v>55</v>
      </c>
      <c r="B35">
        <f>HYPERLINK("https://www.suredividend.com/sure-analysis-MMM/","3M Co.")</f>
        <v>0</v>
      </c>
      <c r="C35">
        <v>183.31</v>
      </c>
      <c r="D35">
        <v>186</v>
      </c>
      <c r="E35">
        <v>0.9855376344086022</v>
      </c>
      <c r="F35">
        <v>0.03229501936610114</v>
      </c>
      <c r="G35">
        <v>0.002917841633724549</v>
      </c>
      <c r="H35">
        <v>0.05</v>
      </c>
      <c r="I35">
        <v>0.0795835810826826</v>
      </c>
      <c r="J35" t="s">
        <v>775</v>
      </c>
      <c r="K35" t="s">
        <v>775</v>
      </c>
      <c r="L35">
        <v>9.800000000000001</v>
      </c>
      <c r="M35">
        <v>5.92</v>
      </c>
      <c r="N35">
        <v>0.6040816326530611</v>
      </c>
      <c r="O35">
        <v>63</v>
      </c>
      <c r="P35">
        <v>0.02011987338221144</v>
      </c>
      <c r="Q35">
        <v>0.116590914065178</v>
      </c>
      <c r="R35" t="s">
        <v>779</v>
      </c>
      <c r="S35" t="s">
        <v>786</v>
      </c>
      <c r="T35">
        <v>106272.701546</v>
      </c>
      <c r="U35" s="2">
        <v>44496</v>
      </c>
      <c r="V35" t="s">
        <v>795</v>
      </c>
    </row>
    <row r="36" spans="1:22">
      <c r="A36" s="1" t="s">
        <v>56</v>
      </c>
      <c r="B36">
        <f>HYPERLINK("https://www.suredividend.com/sure-analysis-V/","Visa Inc")</f>
        <v>0</v>
      </c>
      <c r="C36">
        <v>212.3</v>
      </c>
      <c r="D36">
        <v>178</v>
      </c>
      <c r="E36">
        <v>1.192696629213483</v>
      </c>
      <c r="F36">
        <v>0.007065473386716909</v>
      </c>
      <c r="G36">
        <v>-0.03462954844117216</v>
      </c>
      <c r="H36">
        <v>0.11</v>
      </c>
      <c r="I36">
        <v>0.07856049038942436</v>
      </c>
      <c r="J36" t="s">
        <v>775</v>
      </c>
      <c r="K36" t="s">
        <v>370</v>
      </c>
      <c r="L36">
        <v>7.1</v>
      </c>
      <c r="M36">
        <v>1.5</v>
      </c>
      <c r="N36">
        <v>0.2112676056338028</v>
      </c>
      <c r="O36">
        <v>14</v>
      </c>
      <c r="P36">
        <v>0.09487401536266371</v>
      </c>
      <c r="Q36">
        <v>0.013838762876741</v>
      </c>
      <c r="R36" t="s">
        <v>779</v>
      </c>
      <c r="S36" t="s">
        <v>789</v>
      </c>
      <c r="T36">
        <v>467446.36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57.24</v>
      </c>
      <c r="D37">
        <v>61</v>
      </c>
      <c r="E37">
        <v>0.938360655737705</v>
      </c>
      <c r="F37">
        <v>0.02795248078266946</v>
      </c>
      <c r="G37">
        <v>0.0128054787455183</v>
      </c>
      <c r="H37">
        <v>0.04</v>
      </c>
      <c r="I37">
        <v>0.07783992551624408</v>
      </c>
      <c r="J37" t="s">
        <v>775</v>
      </c>
      <c r="K37" t="s">
        <v>775</v>
      </c>
      <c r="L37">
        <v>6.1</v>
      </c>
      <c r="M37">
        <v>1.6</v>
      </c>
      <c r="N37">
        <v>0.2622950819672131</v>
      </c>
      <c r="O37">
        <v>40</v>
      </c>
      <c r="P37">
        <v>0.04142312668144399</v>
      </c>
      <c r="Q37">
        <v>0.398177782682804</v>
      </c>
      <c r="R37" t="s">
        <v>779</v>
      </c>
      <c r="S37" t="s">
        <v>789</v>
      </c>
      <c r="T37">
        <v>37713.723765</v>
      </c>
      <c r="U37" s="2">
        <v>44497</v>
      </c>
      <c r="V37" t="s">
        <v>800</v>
      </c>
    </row>
    <row r="38" spans="1:22">
      <c r="A38" s="1" t="s">
        <v>58</v>
      </c>
      <c r="B38">
        <f>HYPERLINK("https://www.suredividend.com/sure-analysis-QCOM/","Qualcomm, Inc.")</f>
        <v>0</v>
      </c>
      <c r="C38">
        <v>168.51</v>
      </c>
      <c r="D38">
        <v>162</v>
      </c>
      <c r="E38">
        <v>1.040185185185185</v>
      </c>
      <c r="F38">
        <v>0.01614147528336598</v>
      </c>
      <c r="G38">
        <v>-0.007848788132818085</v>
      </c>
      <c r="H38">
        <v>0.07000000000000001</v>
      </c>
      <c r="I38">
        <v>0.07678824709915921</v>
      </c>
      <c r="J38" t="s">
        <v>775</v>
      </c>
      <c r="K38" t="s">
        <v>776</v>
      </c>
      <c r="L38">
        <v>10.14</v>
      </c>
      <c r="M38">
        <v>2.72</v>
      </c>
      <c r="N38">
        <v>0.2682445759368836</v>
      </c>
      <c r="O38">
        <v>19</v>
      </c>
      <c r="P38">
        <v>0.06972270615977982</v>
      </c>
      <c r="Q38">
        <v>0.165047720761497</v>
      </c>
      <c r="R38" t="s">
        <v>779</v>
      </c>
      <c r="S38" t="s">
        <v>785</v>
      </c>
      <c r="T38">
        <v>184732.8</v>
      </c>
      <c r="U38" s="2">
        <v>44505</v>
      </c>
      <c r="V38" t="s">
        <v>795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434.39</v>
      </c>
      <c r="D39">
        <v>388</v>
      </c>
      <c r="E39">
        <v>1.119561855670103</v>
      </c>
      <c r="F39">
        <v>0.01040539607265361</v>
      </c>
      <c r="G39">
        <v>-0.02233429440063972</v>
      </c>
      <c r="H39">
        <v>0.09</v>
      </c>
      <c r="I39">
        <v>0.07597604136783342</v>
      </c>
      <c r="J39" t="s">
        <v>775</v>
      </c>
      <c r="K39" t="s">
        <v>370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0.328632655462425</v>
      </c>
      <c r="R39" t="s">
        <v>779</v>
      </c>
      <c r="S39" t="s">
        <v>784</v>
      </c>
      <c r="T39">
        <v>106068.740559</v>
      </c>
      <c r="U39" s="2">
        <v>44490</v>
      </c>
      <c r="V39" t="s">
        <v>795</v>
      </c>
    </row>
    <row r="40" spans="1:22">
      <c r="A40" s="1" t="s">
        <v>60</v>
      </c>
      <c r="B40">
        <f>HYPERLINK("https://www.suredividend.com/sure-analysis-TMO/","Thermo Fisher Scientific Inc.")</f>
        <v>0</v>
      </c>
      <c r="C40">
        <v>632.36</v>
      </c>
      <c r="D40">
        <v>561</v>
      </c>
      <c r="E40">
        <v>1.127201426024955</v>
      </c>
      <c r="F40">
        <v>0.001644632804098931</v>
      </c>
      <c r="G40">
        <v>-0.02366312112383484</v>
      </c>
      <c r="H40">
        <v>0.1</v>
      </c>
      <c r="I40">
        <v>0.0758797600067509</v>
      </c>
      <c r="J40" t="s">
        <v>775</v>
      </c>
      <c r="K40" t="s">
        <v>370</v>
      </c>
      <c r="L40">
        <v>23.37</v>
      </c>
      <c r="M40">
        <v>1.04</v>
      </c>
      <c r="N40">
        <v>0.04450149764655541</v>
      </c>
      <c r="O40">
        <v>4</v>
      </c>
      <c r="P40">
        <v>0.1498007546802556</v>
      </c>
      <c r="Q40">
        <v>0.302861783849026</v>
      </c>
      <c r="R40" t="s">
        <v>779</v>
      </c>
      <c r="S40" t="s">
        <v>784</v>
      </c>
      <c r="T40">
        <v>250319.047267</v>
      </c>
      <c r="U40" s="2">
        <v>44499</v>
      </c>
      <c r="V40" t="s">
        <v>794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124.42</v>
      </c>
      <c r="D41">
        <v>138</v>
      </c>
      <c r="E41">
        <v>0.9015942028985507</v>
      </c>
      <c r="F41">
        <v>0.01478861919305578</v>
      </c>
      <c r="G41">
        <v>0.02093425995872233</v>
      </c>
      <c r="H41">
        <v>0.04</v>
      </c>
      <c r="I41">
        <v>0.07571792066707084</v>
      </c>
      <c r="J41" t="s">
        <v>775</v>
      </c>
      <c r="K41" t="s">
        <v>776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0.176996452295678</v>
      </c>
      <c r="R41" t="s">
        <v>779</v>
      </c>
      <c r="S41" t="s">
        <v>784</v>
      </c>
      <c r="T41">
        <v>26044.037119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HYPERLINK("https://www.suredividend.com/sure-analysis-FMCB/","Farmers &amp; Merchants Bancorp")</f>
        <v>0</v>
      </c>
      <c r="C42">
        <v>955</v>
      </c>
      <c r="D42">
        <v>1008</v>
      </c>
      <c r="E42">
        <v>0.9474206349206349</v>
      </c>
      <c r="F42">
        <v>0.01602094240837696</v>
      </c>
      <c r="G42">
        <v>0.0108609784485223</v>
      </c>
      <c r="H42">
        <v>0.05</v>
      </c>
      <c r="I42">
        <v>0.07566458608680393</v>
      </c>
      <c r="J42" t="s">
        <v>775</v>
      </c>
      <c r="K42" t="s">
        <v>776</v>
      </c>
      <c r="L42">
        <v>84</v>
      </c>
      <c r="M42">
        <v>15.3</v>
      </c>
      <c r="N42">
        <v>0.1821428571428572</v>
      </c>
      <c r="O42">
        <v>56</v>
      </c>
      <c r="P42">
        <v>0.0500311005456211</v>
      </c>
      <c r="Q42">
        <v>0.3540124309756461</v>
      </c>
      <c r="R42" t="s">
        <v>779</v>
      </c>
      <c r="S42" t="s">
        <v>789</v>
      </c>
      <c r="T42">
        <v>753.308121</v>
      </c>
      <c r="U42" s="2">
        <v>44498</v>
      </c>
      <c r="V42" t="s">
        <v>802</v>
      </c>
    </row>
    <row r="43" spans="1:22">
      <c r="A43" s="1" t="s">
        <v>63</v>
      </c>
      <c r="B43">
        <f>HYPERLINK("https://www.suredividend.com/sure-analysis-CTBI/","Community Trust Bancorp, Inc.")</f>
        <v>0</v>
      </c>
      <c r="C43">
        <v>44.77</v>
      </c>
      <c r="D43">
        <v>48</v>
      </c>
      <c r="E43">
        <v>0.9327083333333334</v>
      </c>
      <c r="F43">
        <v>0.03573821755639937</v>
      </c>
      <c r="G43">
        <v>0.01403005800337609</v>
      </c>
      <c r="H43">
        <v>0.03</v>
      </c>
      <c r="I43">
        <v>0.07564808959236391</v>
      </c>
      <c r="J43" t="s">
        <v>775</v>
      </c>
      <c r="K43" t="s">
        <v>775</v>
      </c>
      <c r="L43">
        <v>4</v>
      </c>
      <c r="M43">
        <v>1.6</v>
      </c>
      <c r="N43">
        <v>0.4</v>
      </c>
      <c r="O43">
        <v>41</v>
      </c>
      <c r="P43">
        <v>0.03277941543624596</v>
      </c>
      <c r="Q43">
        <v>0.362648916981143</v>
      </c>
      <c r="R43" t="s">
        <v>779</v>
      </c>
      <c r="S43" t="s">
        <v>789</v>
      </c>
      <c r="T43">
        <v>804.722953</v>
      </c>
      <c r="U43" s="2">
        <v>44490</v>
      </c>
      <c r="V43" t="s">
        <v>802</v>
      </c>
    </row>
    <row r="44" spans="1:22">
      <c r="A44" s="1" t="s">
        <v>64</v>
      </c>
      <c r="B44">
        <f>HYPERLINK("https://www.suredividend.com/sure-analysis-LOW/","Lowe`s Cos., Inc.")</f>
        <v>0</v>
      </c>
      <c r="C44">
        <v>234.92</v>
      </c>
      <c r="D44">
        <v>226.94</v>
      </c>
      <c r="E44">
        <v>1.035163479333745</v>
      </c>
      <c r="F44">
        <v>0.0136216584369147</v>
      </c>
      <c r="G44">
        <v>-0.006888041003366041</v>
      </c>
      <c r="H44">
        <v>0.07000000000000001</v>
      </c>
      <c r="I44">
        <v>0.07546663870573567</v>
      </c>
      <c r="J44" t="s">
        <v>775</v>
      </c>
      <c r="K44" t="s">
        <v>776</v>
      </c>
      <c r="L44">
        <v>11.33</v>
      </c>
      <c r="M44">
        <v>3.2</v>
      </c>
      <c r="N44">
        <v>0.2824360105913504</v>
      </c>
      <c r="O44">
        <v>59</v>
      </c>
      <c r="P44">
        <v>0.07008745458377241</v>
      </c>
      <c r="Q44">
        <v>0.500131083729176</v>
      </c>
      <c r="R44" t="s">
        <v>779</v>
      </c>
      <c r="S44" t="s">
        <v>790</v>
      </c>
      <c r="T44">
        <v>163635.693301</v>
      </c>
      <c r="U44" s="2">
        <v>44434</v>
      </c>
      <c r="V44" t="s">
        <v>801</v>
      </c>
    </row>
    <row r="45" spans="1:22">
      <c r="A45" s="1" t="s">
        <v>65</v>
      </c>
      <c r="B45">
        <f>HYPERLINK("https://www.suredividend.com/sure-analysis-ROP/","Roper Technologies Inc")</f>
        <v>0</v>
      </c>
      <c r="C45">
        <v>485.63</v>
      </c>
      <c r="D45">
        <v>423</v>
      </c>
      <c r="E45">
        <v>1.14806146572104</v>
      </c>
      <c r="F45">
        <v>0.005106768527479768</v>
      </c>
      <c r="G45">
        <v>-0.02723716009104282</v>
      </c>
      <c r="H45">
        <v>0.1</v>
      </c>
      <c r="I45">
        <v>0.07521730939939619</v>
      </c>
      <c r="J45" t="s">
        <v>775</v>
      </c>
      <c r="K45" t="s">
        <v>370</v>
      </c>
      <c r="L45">
        <v>14.1</v>
      </c>
      <c r="M45">
        <v>2.48</v>
      </c>
      <c r="N45">
        <v>0.175886524822695</v>
      </c>
      <c r="O45">
        <v>29</v>
      </c>
      <c r="P45">
        <v>0.09977601258252333</v>
      </c>
      <c r="Q45">
        <v>0.236814170781942</v>
      </c>
      <c r="R45" t="s">
        <v>779</v>
      </c>
      <c r="S45" t="s">
        <v>786</v>
      </c>
      <c r="T45">
        <v>51418.371434</v>
      </c>
      <c r="U45" s="2">
        <v>44494</v>
      </c>
      <c r="V45" t="s">
        <v>794</v>
      </c>
    </row>
    <row r="46" spans="1:22">
      <c r="A46" s="1" t="s">
        <v>66</v>
      </c>
      <c r="B46">
        <f>HYPERLINK("https://www.suredividend.com/sure-analysis-MET/","Metlife Inc")</f>
        <v>0</v>
      </c>
      <c r="C46">
        <v>64.15000000000001</v>
      </c>
      <c r="D46">
        <v>77</v>
      </c>
      <c r="E46">
        <v>0.8331168831168831</v>
      </c>
      <c r="F46">
        <v>0.0299298519095869</v>
      </c>
      <c r="G46">
        <v>0.03719117499648794</v>
      </c>
      <c r="H46">
        <v>0.01</v>
      </c>
      <c r="I46">
        <v>0.07420260397467748</v>
      </c>
      <c r="J46" t="s">
        <v>775</v>
      </c>
      <c r="K46" t="s">
        <v>775</v>
      </c>
      <c r="L46">
        <v>8.5</v>
      </c>
      <c r="M46">
        <v>1.92</v>
      </c>
      <c r="N46">
        <v>0.2258823529411765</v>
      </c>
      <c r="O46">
        <v>9</v>
      </c>
      <c r="P46">
        <v>0.0403582746309219</v>
      </c>
      <c r="Q46">
        <v>0.4813908781031551</v>
      </c>
      <c r="R46" t="s">
        <v>779</v>
      </c>
      <c r="S46" t="s">
        <v>789</v>
      </c>
      <c r="T46">
        <v>53994.072789</v>
      </c>
      <c r="U46" s="2">
        <v>44511</v>
      </c>
      <c r="V46" t="s">
        <v>800</v>
      </c>
    </row>
    <row r="47" spans="1:22">
      <c r="A47" s="1" t="s">
        <v>67</v>
      </c>
      <c r="B47">
        <f>HYPERLINK("https://www.suredividend.com/sure-analysis-SYY/","Sysco Corp.")</f>
        <v>0</v>
      </c>
      <c r="C47">
        <v>76.43000000000001</v>
      </c>
      <c r="D47">
        <v>69</v>
      </c>
      <c r="E47">
        <v>1.10768115942029</v>
      </c>
      <c r="F47">
        <v>0.02459767107156875</v>
      </c>
      <c r="G47">
        <v>-0.02024599774159641</v>
      </c>
      <c r="H47">
        <v>0.07000000000000001</v>
      </c>
      <c r="I47">
        <v>0.07294673138616825</v>
      </c>
      <c r="J47" t="s">
        <v>775</v>
      </c>
      <c r="K47" t="s">
        <v>776</v>
      </c>
      <c r="L47">
        <v>3.47</v>
      </c>
      <c r="M47">
        <v>1.88</v>
      </c>
      <c r="N47">
        <v>0.5417867435158501</v>
      </c>
      <c r="O47">
        <v>51</v>
      </c>
      <c r="P47">
        <v>0.07981721406627784</v>
      </c>
      <c r="Q47">
        <v>0.09058073674660301</v>
      </c>
      <c r="R47" t="s">
        <v>779</v>
      </c>
      <c r="S47" t="s">
        <v>788</v>
      </c>
      <c r="T47">
        <v>39069.5399</v>
      </c>
      <c r="U47" s="2">
        <v>44513</v>
      </c>
      <c r="V47" t="s">
        <v>796</v>
      </c>
    </row>
    <row r="48" spans="1:22">
      <c r="A48" s="1" t="s">
        <v>68</v>
      </c>
      <c r="B48">
        <f>HYPERLINK("https://www.suredividend.com/sure-analysis-BRC/","Brady Corp.")</f>
        <v>0</v>
      </c>
      <c r="C48">
        <v>54.53</v>
      </c>
      <c r="D48">
        <v>57</v>
      </c>
      <c r="E48">
        <v>0.9566666666666667</v>
      </c>
      <c r="F48">
        <v>0.01650467632495874</v>
      </c>
      <c r="G48">
        <v>0.00889941821507656</v>
      </c>
      <c r="H48">
        <v>0.05</v>
      </c>
      <c r="I48">
        <v>0.07287622937286375</v>
      </c>
      <c r="J48" t="s">
        <v>775</v>
      </c>
      <c r="K48" t="s">
        <v>776</v>
      </c>
      <c r="L48">
        <v>3</v>
      </c>
      <c r="M48">
        <v>0.9</v>
      </c>
      <c r="N48">
        <v>0.3</v>
      </c>
      <c r="O48">
        <v>36</v>
      </c>
      <c r="P48">
        <v>0.01924487649145656</v>
      </c>
      <c r="Q48">
        <v>0.252572246577793</v>
      </c>
      <c r="R48" t="s">
        <v>779</v>
      </c>
      <c r="S48" t="s">
        <v>786</v>
      </c>
      <c r="T48">
        <v>2649.642177</v>
      </c>
      <c r="U48" s="2">
        <v>44461</v>
      </c>
      <c r="V48" t="s">
        <v>795</v>
      </c>
    </row>
    <row r="49" spans="1:22">
      <c r="A49" s="1" t="s">
        <v>69</v>
      </c>
      <c r="B49">
        <f>HYPERLINK("https://www.suredividend.com/sure-analysis-KO/","Coca-Cola Co")</f>
        <v>0</v>
      </c>
      <c r="C49">
        <v>56.62</v>
      </c>
      <c r="D49">
        <v>53</v>
      </c>
      <c r="E49">
        <v>1.068301886792453</v>
      </c>
      <c r="F49">
        <v>0.02967149417167079</v>
      </c>
      <c r="G49">
        <v>-0.01312715064904235</v>
      </c>
      <c r="H49">
        <v>0.06</v>
      </c>
      <c r="I49">
        <v>0.0725893557763202</v>
      </c>
      <c r="J49" t="s">
        <v>775</v>
      </c>
      <c r="K49" t="s">
        <v>775</v>
      </c>
      <c r="L49">
        <v>2.3</v>
      </c>
      <c r="M49">
        <v>1.68</v>
      </c>
      <c r="N49">
        <v>0.7304347826086957</v>
      </c>
      <c r="O49">
        <v>59</v>
      </c>
      <c r="P49">
        <v>0.03959498820755258</v>
      </c>
      <c r="Q49">
        <v>0.09260402995445001</v>
      </c>
      <c r="R49" t="s">
        <v>779</v>
      </c>
      <c r="S49" t="s">
        <v>788</v>
      </c>
      <c r="T49">
        <v>244522.37956</v>
      </c>
      <c r="U49" s="2">
        <v>44512</v>
      </c>
      <c r="V49" t="s">
        <v>798</v>
      </c>
    </row>
    <row r="50" spans="1:22">
      <c r="A50" s="1" t="s">
        <v>70</v>
      </c>
      <c r="B50">
        <f>HYPERLINK("https://www.suredividend.com/sure-analysis-RNR/","RenaissanceRe Holdings Ltd")</f>
        <v>0</v>
      </c>
      <c r="C50">
        <v>155.67</v>
      </c>
      <c r="D50">
        <v>167</v>
      </c>
      <c r="E50">
        <v>0.9321556886227544</v>
      </c>
      <c r="F50">
        <v>0.009250337251878975</v>
      </c>
      <c r="G50">
        <v>0.01415026657051865</v>
      </c>
      <c r="H50">
        <v>0.05</v>
      </c>
      <c r="I50">
        <v>0.0725299061312159</v>
      </c>
      <c r="J50" t="s">
        <v>775</v>
      </c>
      <c r="K50" t="s">
        <v>370</v>
      </c>
      <c r="L50">
        <v>11</v>
      </c>
      <c r="M50">
        <v>1.44</v>
      </c>
      <c r="N50">
        <v>0.1309090909090909</v>
      </c>
      <c r="O50">
        <v>26</v>
      </c>
      <c r="P50">
        <v>0.02635185407071083</v>
      </c>
      <c r="Q50">
        <v>-0.114416303619635</v>
      </c>
      <c r="R50" t="s">
        <v>779</v>
      </c>
      <c r="S50" t="s">
        <v>789</v>
      </c>
      <c r="T50">
        <v>7196.589147</v>
      </c>
      <c r="U50" s="2">
        <v>44495</v>
      </c>
      <c r="V50" t="s">
        <v>794</v>
      </c>
    </row>
    <row r="51" spans="1:22">
      <c r="A51" s="1" t="s">
        <v>71</v>
      </c>
      <c r="B51">
        <f>HYPERLINK("https://www.suredividend.com/sure-analysis-SKM/","SK Telecom Co Ltd")</f>
        <v>0</v>
      </c>
      <c r="C51">
        <v>30.54</v>
      </c>
      <c r="D51">
        <v>30</v>
      </c>
      <c r="E51">
        <v>1.018</v>
      </c>
      <c r="F51">
        <v>0.03274394237066143</v>
      </c>
      <c r="G51">
        <v>-0.003561625935715296</v>
      </c>
      <c r="H51">
        <v>0.05</v>
      </c>
      <c r="I51">
        <v>0.07226120758488963</v>
      </c>
      <c r="J51" t="s">
        <v>775</v>
      </c>
      <c r="K51" t="s">
        <v>775</v>
      </c>
      <c r="L51">
        <v>9</v>
      </c>
      <c r="M51">
        <v>1</v>
      </c>
      <c r="N51">
        <v>0.1111111111111111</v>
      </c>
      <c r="O51">
        <v>0</v>
      </c>
      <c r="P51">
        <v>0</v>
      </c>
      <c r="Q51">
        <v>0.370713968314425</v>
      </c>
      <c r="R51" t="s">
        <v>779</v>
      </c>
      <c r="S51" t="s">
        <v>783</v>
      </c>
      <c r="T51">
        <v>19605.403106</v>
      </c>
      <c r="U51" s="2">
        <v>44439</v>
      </c>
      <c r="V51" t="s">
        <v>801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64.13</v>
      </c>
      <c r="D52">
        <v>64</v>
      </c>
      <c r="E52">
        <v>1.00203125</v>
      </c>
      <c r="F52">
        <v>0.0115390612817714</v>
      </c>
      <c r="G52">
        <v>-0.0004057556191343625</v>
      </c>
      <c r="H52">
        <v>0.06</v>
      </c>
      <c r="I52">
        <v>0.07094221017348068</v>
      </c>
      <c r="J52" t="s">
        <v>775</v>
      </c>
      <c r="K52" t="s">
        <v>370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0.188171193645452</v>
      </c>
      <c r="R52" t="s">
        <v>779</v>
      </c>
      <c r="S52" t="s">
        <v>789</v>
      </c>
      <c r="T52">
        <v>9019.788153</v>
      </c>
      <c r="U52" s="2">
        <v>44493</v>
      </c>
      <c r="V52" t="s">
        <v>798</v>
      </c>
    </row>
    <row r="53" spans="1:22">
      <c r="A53" s="1" t="s">
        <v>73</v>
      </c>
      <c r="B53">
        <f>HYPERLINK("https://www.suredividend.com/sure-analysis-EBTC/","Enterprise Bancorp, Inc.")</f>
        <v>0</v>
      </c>
      <c r="C53">
        <v>40.41</v>
      </c>
      <c r="D53">
        <v>41</v>
      </c>
      <c r="E53">
        <v>0.9856097560975609</v>
      </c>
      <c r="F53">
        <v>0.01831229893590695</v>
      </c>
      <c r="G53">
        <v>0.002903163563540367</v>
      </c>
      <c r="H53">
        <v>0.05</v>
      </c>
      <c r="I53">
        <v>0.07037415460443808</v>
      </c>
      <c r="J53" t="s">
        <v>775</v>
      </c>
      <c r="K53" t="s">
        <v>776</v>
      </c>
      <c r="L53">
        <v>3.4</v>
      </c>
      <c r="M53">
        <v>0.74</v>
      </c>
      <c r="N53">
        <v>0.2176470588235294</v>
      </c>
      <c r="O53">
        <v>27</v>
      </c>
      <c r="P53">
        <v>0.06207125806326297</v>
      </c>
      <c r="Q53">
        <v>0.6619975964200601</v>
      </c>
      <c r="R53" t="s">
        <v>779</v>
      </c>
      <c r="S53" t="s">
        <v>789</v>
      </c>
      <c r="T53">
        <v>487.341536</v>
      </c>
      <c r="U53" s="2">
        <v>44494</v>
      </c>
      <c r="V53" t="s">
        <v>802</v>
      </c>
    </row>
    <row r="54" spans="1:22">
      <c r="A54" s="1" t="s">
        <v>74</v>
      </c>
      <c r="B54">
        <f>HYPERLINK("https://www.suredividend.com/sure-analysis-CP/","Canadian Pacific Railway Ltd")</f>
        <v>0</v>
      </c>
      <c r="C54">
        <v>76.95999999999999</v>
      </c>
      <c r="D54">
        <v>64</v>
      </c>
      <c r="E54">
        <v>1.2025</v>
      </c>
      <c r="F54">
        <v>0.007926195426195427</v>
      </c>
      <c r="G54">
        <v>-0.03620874145639319</v>
      </c>
      <c r="H54">
        <v>0.1</v>
      </c>
      <c r="I54">
        <v>0.06974174271766476</v>
      </c>
      <c r="J54" t="s">
        <v>775</v>
      </c>
      <c r="K54" t="s">
        <v>512</v>
      </c>
      <c r="L54">
        <v>3.06</v>
      </c>
      <c r="M54">
        <v>0.61</v>
      </c>
      <c r="N54">
        <v>0.1993464052287582</v>
      </c>
      <c r="O54">
        <v>5</v>
      </c>
      <c r="P54">
        <v>0.1505753231079818</v>
      </c>
      <c r="Q54">
        <v>0.176265402843601</v>
      </c>
      <c r="R54" t="s">
        <v>779</v>
      </c>
      <c r="S54" t="s">
        <v>786</v>
      </c>
      <c r="T54">
        <v>51723.666604</v>
      </c>
      <c r="U54" s="2">
        <v>44491</v>
      </c>
      <c r="V54" t="s">
        <v>803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146.91</v>
      </c>
      <c r="D55">
        <v>151</v>
      </c>
      <c r="E55">
        <v>0.9729139072847682</v>
      </c>
      <c r="F55">
        <v>0.014975154856715</v>
      </c>
      <c r="G55">
        <v>0.005507044815034723</v>
      </c>
      <c r="H55">
        <v>0.05</v>
      </c>
      <c r="I55">
        <v>0.06941774634596909</v>
      </c>
      <c r="J55" t="s">
        <v>775</v>
      </c>
      <c r="K55" t="s">
        <v>776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-0.003226561556628</v>
      </c>
      <c r="R55" t="s">
        <v>779</v>
      </c>
      <c r="S55" t="s">
        <v>788</v>
      </c>
      <c r="T55">
        <v>412028.437292</v>
      </c>
      <c r="U55" s="2">
        <v>44428</v>
      </c>
      <c r="V55" t="s">
        <v>798</v>
      </c>
    </row>
    <row r="56" spans="1:22">
      <c r="A56" s="1" t="s">
        <v>76</v>
      </c>
      <c r="B56">
        <f>HYPERLINK("https://www.suredividend.com/sure-analysis-NWN/","Northwest Natural Holding Co")</f>
        <v>0</v>
      </c>
      <c r="C56">
        <v>46.87</v>
      </c>
      <c r="D56">
        <v>50.8</v>
      </c>
      <c r="E56">
        <v>0.9226377952755905</v>
      </c>
      <c r="F56">
        <v>0.04096436953275016</v>
      </c>
      <c r="G56">
        <v>0.01623407208296701</v>
      </c>
      <c r="H56">
        <v>0.016</v>
      </c>
      <c r="I56">
        <v>0.06858748759433153</v>
      </c>
      <c r="J56" t="s">
        <v>775</v>
      </c>
      <c r="K56" t="s">
        <v>775</v>
      </c>
      <c r="L56">
        <v>2.54</v>
      </c>
      <c r="M56">
        <v>1.92</v>
      </c>
      <c r="N56">
        <v>0.7559055118110236</v>
      </c>
      <c r="O56">
        <v>66</v>
      </c>
      <c r="P56">
        <v>0.02383625553960966</v>
      </c>
      <c r="Q56">
        <v>-0.025577789857294</v>
      </c>
      <c r="R56" t="s">
        <v>779</v>
      </c>
      <c r="S56" t="s">
        <v>791</v>
      </c>
      <c r="T56">
        <v>1413.092303</v>
      </c>
      <c r="U56" s="2">
        <v>44509</v>
      </c>
      <c r="V56" t="s">
        <v>804</v>
      </c>
    </row>
    <row r="57" spans="1:22">
      <c r="A57" s="1" t="s">
        <v>77</v>
      </c>
      <c r="B57">
        <f>HYPERLINK("https://www.suredividend.com/sure-analysis-NFG/","National Fuel Gas Co.")</f>
        <v>0</v>
      </c>
      <c r="C57">
        <v>60.63</v>
      </c>
      <c r="D57">
        <v>61</v>
      </c>
      <c r="E57">
        <v>0.9939344262295082</v>
      </c>
      <c r="F57">
        <v>0.02968827313211281</v>
      </c>
      <c r="G57">
        <v>0.001217549430148068</v>
      </c>
      <c r="H57">
        <v>0.04</v>
      </c>
      <c r="I57">
        <v>0.06688831769010561</v>
      </c>
      <c r="J57" t="s">
        <v>775</v>
      </c>
      <c r="K57" t="s">
        <v>775</v>
      </c>
      <c r="L57">
        <v>4.05</v>
      </c>
      <c r="M57">
        <v>1.8</v>
      </c>
      <c r="N57">
        <v>0.4444444444444445</v>
      </c>
      <c r="O57">
        <v>51</v>
      </c>
      <c r="P57">
        <v>0.02129568760013512</v>
      </c>
      <c r="Q57">
        <v>0.490342481692553</v>
      </c>
      <c r="R57" t="s">
        <v>779</v>
      </c>
      <c r="S57" t="s">
        <v>791</v>
      </c>
      <c r="T57">
        <v>5489.105471</v>
      </c>
      <c r="U57" s="2">
        <v>44427</v>
      </c>
      <c r="V57" t="s">
        <v>802</v>
      </c>
    </row>
    <row r="58" spans="1:22">
      <c r="A58" s="1" t="s">
        <v>78</v>
      </c>
      <c r="B58">
        <f>HYPERLINK("https://www.suredividend.com/sure-analysis-MATW/","Matthews International Corp.")</f>
        <v>0</v>
      </c>
      <c r="C58">
        <v>38.93</v>
      </c>
      <c r="D58">
        <v>42</v>
      </c>
      <c r="E58">
        <v>0.9269047619047619</v>
      </c>
      <c r="F58">
        <v>0.02209093244284614</v>
      </c>
      <c r="G58">
        <v>0.01529670637941272</v>
      </c>
      <c r="H58">
        <v>0.03</v>
      </c>
      <c r="I58">
        <v>0.06638782579868785</v>
      </c>
      <c r="J58" t="s">
        <v>775</v>
      </c>
      <c r="K58" t="s">
        <v>776</v>
      </c>
      <c r="L58">
        <v>3.25</v>
      </c>
      <c r="M58">
        <v>0.86</v>
      </c>
      <c r="N58">
        <v>0.2646153846153846</v>
      </c>
      <c r="O58">
        <v>27</v>
      </c>
      <c r="P58">
        <v>0.05045837224621441</v>
      </c>
      <c r="Q58">
        <v>0.550403041037267</v>
      </c>
      <c r="R58" t="s">
        <v>779</v>
      </c>
      <c r="S58" t="s">
        <v>786</v>
      </c>
      <c r="T58">
        <v>1230.049029</v>
      </c>
      <c r="U58" s="2">
        <v>44417</v>
      </c>
      <c r="V58" t="s">
        <v>801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30</v>
      </c>
      <c r="D59">
        <v>38</v>
      </c>
      <c r="E59">
        <v>0.7894736842105263</v>
      </c>
      <c r="F59">
        <v>0.01866666666666667</v>
      </c>
      <c r="G59">
        <v>0.04841317128472156</v>
      </c>
      <c r="H59">
        <v>0</v>
      </c>
      <c r="I59">
        <v>0.06524907611221664</v>
      </c>
      <c r="J59" t="s">
        <v>775</v>
      </c>
      <c r="K59" t="s">
        <v>776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0.525002414587156</v>
      </c>
      <c r="R59" t="s">
        <v>779</v>
      </c>
      <c r="S59" t="s">
        <v>789</v>
      </c>
      <c r="T59">
        <v>144.12372</v>
      </c>
      <c r="U59" s="2">
        <v>44507</v>
      </c>
      <c r="V59" t="s">
        <v>798</v>
      </c>
    </row>
    <row r="60" spans="1:22">
      <c r="A60" s="1" t="s">
        <v>80</v>
      </c>
      <c r="B60">
        <f>HYPERLINK("https://www.suredividend.com/sure-analysis-AIZ/","Assurant Inc")</f>
        <v>0</v>
      </c>
      <c r="C60">
        <v>160.11</v>
      </c>
      <c r="D60">
        <v>138</v>
      </c>
      <c r="E60">
        <v>1.160217391304348</v>
      </c>
      <c r="F60">
        <v>0.01698832052963587</v>
      </c>
      <c r="G60">
        <v>-0.02928413912494965</v>
      </c>
      <c r="H60">
        <v>0.08</v>
      </c>
      <c r="I60">
        <v>0.06466541992146535</v>
      </c>
      <c r="J60" t="s">
        <v>775</v>
      </c>
      <c r="K60" t="s">
        <v>776</v>
      </c>
      <c r="L60">
        <v>10</v>
      </c>
      <c r="M60">
        <v>2.72</v>
      </c>
      <c r="N60">
        <v>0.272</v>
      </c>
      <c r="O60">
        <v>17</v>
      </c>
      <c r="P60">
        <v>0.06000153927394081</v>
      </c>
      <c r="Q60">
        <v>0.216304338749336</v>
      </c>
      <c r="R60" t="s">
        <v>779</v>
      </c>
      <c r="S60" t="s">
        <v>789</v>
      </c>
      <c r="T60">
        <v>9128.808316000001</v>
      </c>
      <c r="U60" s="2">
        <v>44512</v>
      </c>
      <c r="V60" t="s">
        <v>802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234.48</v>
      </c>
      <c r="D61">
        <v>289</v>
      </c>
      <c r="E61">
        <v>0.8113494809688581</v>
      </c>
      <c r="F61">
        <v>0.02388263391334016</v>
      </c>
      <c r="G61">
        <v>0.04269768054619738</v>
      </c>
      <c r="H61">
        <v>0</v>
      </c>
      <c r="I61">
        <v>0.06452051036887019</v>
      </c>
      <c r="J61" t="s">
        <v>775</v>
      </c>
      <c r="K61" t="s">
        <v>776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0.261423963306401</v>
      </c>
      <c r="R61" t="s">
        <v>779</v>
      </c>
      <c r="S61" t="s">
        <v>790</v>
      </c>
      <c r="T61">
        <v>14557.870434</v>
      </c>
      <c r="U61" s="2">
        <v>44494</v>
      </c>
      <c r="V61" t="s">
        <v>800</v>
      </c>
    </row>
    <row r="62" spans="1:22">
      <c r="A62" s="1" t="s">
        <v>82</v>
      </c>
      <c r="B62">
        <f>HYPERLINK("https://www.suredividend.com/sure-analysis-LANC/","Lancaster Colony Corp.")</f>
        <v>0</v>
      </c>
      <c r="C62">
        <v>164.95</v>
      </c>
      <c r="D62">
        <v>170</v>
      </c>
      <c r="E62">
        <v>0.9702941176470588</v>
      </c>
      <c r="F62">
        <v>0.01939981812670507</v>
      </c>
      <c r="G62">
        <v>0.006049432229218166</v>
      </c>
      <c r="H62">
        <v>0.04</v>
      </c>
      <c r="I62">
        <v>0.0644242374916788</v>
      </c>
      <c r="J62" t="s">
        <v>775</v>
      </c>
      <c r="K62" t="s">
        <v>776</v>
      </c>
      <c r="L62">
        <v>6.3</v>
      </c>
      <c r="M62">
        <v>3.2</v>
      </c>
      <c r="N62">
        <v>0.507936507936508</v>
      </c>
      <c r="O62">
        <v>59</v>
      </c>
      <c r="P62">
        <v>0.04978904632428516</v>
      </c>
      <c r="Q62">
        <v>-0.049601743133186</v>
      </c>
      <c r="R62" t="s">
        <v>779</v>
      </c>
      <c r="S62" t="s">
        <v>788</v>
      </c>
      <c r="T62">
        <v>4500.6044</v>
      </c>
      <c r="U62" s="2">
        <v>44444</v>
      </c>
      <c r="V62" t="s">
        <v>798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78.3</v>
      </c>
      <c r="D63">
        <v>75</v>
      </c>
      <c r="E63">
        <v>1.044</v>
      </c>
      <c r="F63">
        <v>0.02298850574712644</v>
      </c>
      <c r="G63">
        <v>-0.008574921720574058</v>
      </c>
      <c r="H63">
        <v>0.05</v>
      </c>
      <c r="I63">
        <v>0.06279564174820607</v>
      </c>
      <c r="J63" t="s">
        <v>775</v>
      </c>
      <c r="K63" t="s">
        <v>776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-0.06498716649052</v>
      </c>
      <c r="R63" t="s">
        <v>779</v>
      </c>
      <c r="S63" t="s">
        <v>788</v>
      </c>
      <c r="T63">
        <v>65767.48335900001</v>
      </c>
      <c r="U63" s="2">
        <v>44415</v>
      </c>
      <c r="V63" t="s">
        <v>798</v>
      </c>
    </row>
    <row r="64" spans="1:22">
      <c r="A64" s="1" t="s">
        <v>84</v>
      </c>
      <c r="B64">
        <f>HYPERLINK("https://www.suredividend.com/sure-analysis-EXPD/","Expeditors International Of Washington, Inc.")</f>
        <v>0</v>
      </c>
      <c r="C64">
        <v>128.89</v>
      </c>
      <c r="D64">
        <v>138</v>
      </c>
      <c r="E64">
        <v>0.9339855072463767</v>
      </c>
      <c r="F64">
        <v>0.008999922414461944</v>
      </c>
      <c r="G64">
        <v>0.01375258009903457</v>
      </c>
      <c r="H64">
        <v>0.04</v>
      </c>
      <c r="I64">
        <v>0.06237952611404562</v>
      </c>
      <c r="J64" t="s">
        <v>775</v>
      </c>
      <c r="K64" t="s">
        <v>370</v>
      </c>
      <c r="L64">
        <v>7.67</v>
      </c>
      <c r="M64">
        <v>1.16</v>
      </c>
      <c r="N64">
        <v>0.151238591916558</v>
      </c>
      <c r="O64">
        <v>27</v>
      </c>
      <c r="P64">
        <v>0.03980577390781126</v>
      </c>
      <c r="Q64">
        <v>0.4523428063822411</v>
      </c>
      <c r="R64" t="s">
        <v>779</v>
      </c>
      <c r="S64" t="s">
        <v>786</v>
      </c>
      <c r="T64">
        <v>21714.181904</v>
      </c>
      <c r="U64" s="2">
        <v>44513</v>
      </c>
      <c r="V64" t="s">
        <v>796</v>
      </c>
    </row>
    <row r="65" spans="1:22">
      <c r="A65" s="1" t="s">
        <v>85</v>
      </c>
      <c r="B65">
        <f>HYPERLINK("https://www.suredividend.com/sure-analysis-ADP/","Automatic Data Processing Inc.")</f>
        <v>0</v>
      </c>
      <c r="C65">
        <v>233.06</v>
      </c>
      <c r="D65">
        <v>196</v>
      </c>
      <c r="E65">
        <v>1.189081632653061</v>
      </c>
      <c r="F65">
        <v>0.0178494808203896</v>
      </c>
      <c r="G65">
        <v>-0.03404328511664678</v>
      </c>
      <c r="H65">
        <v>0.08</v>
      </c>
      <c r="I65">
        <v>0.06166174295785054</v>
      </c>
      <c r="J65" t="s">
        <v>775</v>
      </c>
      <c r="K65" t="s">
        <v>776</v>
      </c>
      <c r="L65">
        <v>6.75</v>
      </c>
      <c r="M65">
        <v>4.16</v>
      </c>
      <c r="N65">
        <v>0.6162962962962963</v>
      </c>
      <c r="O65">
        <v>47</v>
      </c>
      <c r="P65">
        <v>0.0799150058822331</v>
      </c>
      <c r="Q65">
        <v>0.372324715572287</v>
      </c>
      <c r="R65" t="s">
        <v>779</v>
      </c>
      <c r="S65" t="s">
        <v>786</v>
      </c>
      <c r="T65">
        <v>97310.21681899999</v>
      </c>
      <c r="U65" s="2">
        <v>44512</v>
      </c>
      <c r="V65" t="s">
        <v>798</v>
      </c>
    </row>
    <row r="66" spans="1:22">
      <c r="A66" s="1" t="s">
        <v>86</v>
      </c>
      <c r="B66">
        <f>HYPERLINK("https://www.suredividend.com/sure-analysis-MKC/","McCormick &amp; Co., Inc.")</f>
        <v>0</v>
      </c>
      <c r="C66">
        <v>82.69</v>
      </c>
      <c r="D66">
        <v>69</v>
      </c>
      <c r="E66">
        <v>1.198405797101449</v>
      </c>
      <c r="F66">
        <v>0.01644697061313339</v>
      </c>
      <c r="G66">
        <v>-0.035551105177547</v>
      </c>
      <c r="H66">
        <v>0.08</v>
      </c>
      <c r="I66">
        <v>0.05921468974867983</v>
      </c>
      <c r="J66" t="s">
        <v>775</v>
      </c>
      <c r="K66" t="s">
        <v>370</v>
      </c>
      <c r="L66">
        <v>3</v>
      </c>
      <c r="M66">
        <v>1.36</v>
      </c>
      <c r="N66">
        <v>0.4533333333333334</v>
      </c>
      <c r="O66">
        <v>34</v>
      </c>
      <c r="P66">
        <v>0.08973644480326026</v>
      </c>
      <c r="Q66">
        <v>-0.097168160159894</v>
      </c>
      <c r="R66" t="s">
        <v>779</v>
      </c>
      <c r="S66" t="s">
        <v>788</v>
      </c>
      <c r="T66">
        <v>21807.927214</v>
      </c>
      <c r="U66" s="2">
        <v>44470</v>
      </c>
      <c r="V66" t="s">
        <v>795</v>
      </c>
    </row>
    <row r="67" spans="1:22">
      <c r="A67" s="1" t="s">
        <v>87</v>
      </c>
      <c r="B67">
        <f>HYPERLINK("https://www.suredividend.com/sure-analysis-MCK/","Mckesson Corporation")</f>
        <v>0</v>
      </c>
      <c r="C67">
        <v>221.93</v>
      </c>
      <c r="D67">
        <v>244</v>
      </c>
      <c r="E67">
        <v>0.9095491803278689</v>
      </c>
      <c r="F67">
        <v>0.008471139548506285</v>
      </c>
      <c r="G67">
        <v>0.01914214762637112</v>
      </c>
      <c r="H67">
        <v>0.03</v>
      </c>
      <c r="I67">
        <v>0.05817164697780908</v>
      </c>
      <c r="J67" t="s">
        <v>775</v>
      </c>
      <c r="K67" t="s">
        <v>370</v>
      </c>
      <c r="L67">
        <v>20.3</v>
      </c>
      <c r="M67">
        <v>1.88</v>
      </c>
      <c r="N67">
        <v>0.09261083743842363</v>
      </c>
      <c r="O67">
        <v>14</v>
      </c>
      <c r="P67">
        <v>0.0702598056972048</v>
      </c>
      <c r="Q67">
        <v>0.240150585379979</v>
      </c>
      <c r="R67" t="s">
        <v>779</v>
      </c>
      <c r="S67" t="s">
        <v>784</v>
      </c>
      <c r="T67">
        <v>34327.531382</v>
      </c>
      <c r="U67" s="2">
        <v>44428</v>
      </c>
      <c r="V67" t="s">
        <v>798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61.84</v>
      </c>
      <c r="D68">
        <v>56</v>
      </c>
      <c r="E68">
        <v>1.104285714285714</v>
      </c>
      <c r="F68">
        <v>0.02910737386804657</v>
      </c>
      <c r="G68">
        <v>-0.0196442301214268</v>
      </c>
      <c r="H68">
        <v>0.05</v>
      </c>
      <c r="I68">
        <v>0.05785722102619517</v>
      </c>
      <c r="J68" t="s">
        <v>775</v>
      </c>
      <c r="K68" t="s">
        <v>775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0.135092482575414</v>
      </c>
      <c r="R68" t="s">
        <v>779</v>
      </c>
      <c r="S68" t="s">
        <v>790</v>
      </c>
      <c r="T68">
        <v>6096.231096</v>
      </c>
      <c r="U68" s="2">
        <v>44491</v>
      </c>
      <c r="V68" t="s">
        <v>795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158.06</v>
      </c>
      <c r="D69">
        <v>147</v>
      </c>
      <c r="E69">
        <v>1.075238095238095</v>
      </c>
      <c r="F69">
        <v>0.02227002404150323</v>
      </c>
      <c r="G69">
        <v>-0.01440368416269822</v>
      </c>
      <c r="H69">
        <v>0.05</v>
      </c>
      <c r="I69">
        <v>0.05774669895994444</v>
      </c>
      <c r="J69" t="s">
        <v>775</v>
      </c>
      <c r="K69" t="s">
        <v>776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0.196408797579517</v>
      </c>
      <c r="R69" t="s">
        <v>779</v>
      </c>
      <c r="S69" t="s">
        <v>789</v>
      </c>
      <c r="T69">
        <v>38726.687508</v>
      </c>
      <c r="U69" s="2">
        <v>44492</v>
      </c>
      <c r="V69" t="s">
        <v>798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227</v>
      </c>
      <c r="D70">
        <v>178</v>
      </c>
      <c r="E70">
        <v>1.275280898876404</v>
      </c>
      <c r="F70">
        <v>0.007136563876651983</v>
      </c>
      <c r="G70">
        <v>-0.04746963520340464</v>
      </c>
      <c r="H70">
        <v>0.1</v>
      </c>
      <c r="I70">
        <v>0.05539211210070194</v>
      </c>
      <c r="J70" t="s">
        <v>775</v>
      </c>
      <c r="K70" t="s">
        <v>370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0.060056187689308</v>
      </c>
      <c r="R70" t="s">
        <v>779</v>
      </c>
      <c r="S70" t="s">
        <v>788</v>
      </c>
      <c r="T70">
        <v>52494.79905</v>
      </c>
      <c r="U70" s="2">
        <v>44439</v>
      </c>
      <c r="V70" t="s">
        <v>799</v>
      </c>
    </row>
    <row r="71" spans="1:22">
      <c r="A71" s="1" t="s">
        <v>91</v>
      </c>
      <c r="B71">
        <f>HYPERLINK("https://www.suredividend.com/sure-analysis-BBY/","Best Buy Co. Inc.")</f>
        <v>0</v>
      </c>
      <c r="C71">
        <v>132.36</v>
      </c>
      <c r="D71">
        <v>116</v>
      </c>
      <c r="E71">
        <v>1.141034482758621</v>
      </c>
      <c r="F71">
        <v>0.02115442731943185</v>
      </c>
      <c r="G71">
        <v>-0.02604196198658071</v>
      </c>
      <c r="H71">
        <v>0.06</v>
      </c>
      <c r="I71">
        <v>0.05496869887320344</v>
      </c>
      <c r="J71" t="s">
        <v>775</v>
      </c>
      <c r="K71" t="s">
        <v>776</v>
      </c>
      <c r="L71">
        <v>9.69</v>
      </c>
      <c r="M71">
        <v>2.8</v>
      </c>
      <c r="N71">
        <v>0.2889576883384933</v>
      </c>
      <c r="O71">
        <v>18</v>
      </c>
      <c r="P71">
        <v>0.07978367728709435</v>
      </c>
      <c r="Q71">
        <v>0.215652636871838</v>
      </c>
      <c r="R71" t="s">
        <v>779</v>
      </c>
      <c r="S71" t="s">
        <v>790</v>
      </c>
      <c r="T71">
        <v>33360.127159</v>
      </c>
      <c r="U71" s="2">
        <v>44452</v>
      </c>
      <c r="V71" t="s">
        <v>799</v>
      </c>
    </row>
    <row r="72" spans="1:22">
      <c r="A72" s="1" t="s">
        <v>92</v>
      </c>
      <c r="B72">
        <f>HYPERLINK("https://www.suredividend.com/sure-analysis-BEN/","Franklin Resources, Inc.")</f>
        <v>0</v>
      </c>
      <c r="C72">
        <v>35.74</v>
      </c>
      <c r="D72">
        <v>33</v>
      </c>
      <c r="E72">
        <v>1.083030303030303</v>
      </c>
      <c r="F72">
        <v>0.03133743704532736</v>
      </c>
      <c r="G72">
        <v>-0.0158260210208907</v>
      </c>
      <c r="H72">
        <v>0.04</v>
      </c>
      <c r="I72">
        <v>0.0538236781889172</v>
      </c>
      <c r="J72" t="s">
        <v>775</v>
      </c>
      <c r="K72" t="s">
        <v>775</v>
      </c>
      <c r="L72">
        <v>3.3</v>
      </c>
      <c r="M72">
        <v>1.12</v>
      </c>
      <c r="N72">
        <v>0.3393939393939395</v>
      </c>
      <c r="O72">
        <v>41</v>
      </c>
      <c r="P72">
        <v>0.03959498820755258</v>
      </c>
      <c r="Q72">
        <v>0.81944388148028</v>
      </c>
      <c r="R72" t="s">
        <v>779</v>
      </c>
      <c r="S72" t="s">
        <v>789</v>
      </c>
      <c r="T72">
        <v>18057.493747</v>
      </c>
      <c r="U72" s="2">
        <v>44507</v>
      </c>
      <c r="V72" t="s">
        <v>800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201.07</v>
      </c>
      <c r="D73">
        <v>173</v>
      </c>
      <c r="E73">
        <v>1.162254335260116</v>
      </c>
      <c r="F73">
        <v>0.02367334759039141</v>
      </c>
      <c r="G73">
        <v>-0.0296246293862189</v>
      </c>
      <c r="H73">
        <v>0.06</v>
      </c>
      <c r="I73">
        <v>0.05271401121385422</v>
      </c>
      <c r="J73" t="s">
        <v>775</v>
      </c>
      <c r="K73" t="s">
        <v>776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0.364659548101244</v>
      </c>
      <c r="R73" t="s">
        <v>779</v>
      </c>
      <c r="S73" t="s">
        <v>786</v>
      </c>
      <c r="T73">
        <v>56115.412145</v>
      </c>
      <c r="U73" s="2">
        <v>44508</v>
      </c>
      <c r="V73" t="s">
        <v>799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307.68</v>
      </c>
      <c r="D74">
        <v>250</v>
      </c>
      <c r="E74">
        <v>1.23072</v>
      </c>
      <c r="F74">
        <v>0.01469058762350494</v>
      </c>
      <c r="G74">
        <v>-0.040669729422385</v>
      </c>
      <c r="H74">
        <v>0.08</v>
      </c>
      <c r="I74">
        <v>0.05174845330185507</v>
      </c>
      <c r="J74" t="s">
        <v>775</v>
      </c>
      <c r="K74" t="s">
        <v>370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0.6977001014118971</v>
      </c>
      <c r="R74" t="s">
        <v>779</v>
      </c>
      <c r="S74" t="s">
        <v>789</v>
      </c>
      <c r="T74">
        <v>34521.365239</v>
      </c>
      <c r="U74" s="2">
        <v>44496</v>
      </c>
      <c r="V74" t="s">
        <v>795</v>
      </c>
    </row>
    <row r="75" spans="1:22">
      <c r="A75" s="1" t="s">
        <v>95</v>
      </c>
      <c r="B75">
        <f>HYPERLINK("https://www.suredividend.com/sure-analysis-INTU/","Intuit Inc")</f>
        <v>0</v>
      </c>
      <c r="C75">
        <v>626.14</v>
      </c>
      <c r="D75">
        <v>446</v>
      </c>
      <c r="E75">
        <v>1.40390134529148</v>
      </c>
      <c r="F75">
        <v>0.004344076404637941</v>
      </c>
      <c r="G75">
        <v>-0.06560031801504418</v>
      </c>
      <c r="H75">
        <v>0.12</v>
      </c>
      <c r="I75">
        <v>0.05162879973298851</v>
      </c>
      <c r="J75" t="s">
        <v>775</v>
      </c>
      <c r="K75" t="s">
        <v>512</v>
      </c>
      <c r="L75">
        <v>11.15</v>
      </c>
      <c r="M75">
        <v>2.72</v>
      </c>
      <c r="N75">
        <v>0.2439461883408072</v>
      </c>
      <c r="O75">
        <v>10</v>
      </c>
      <c r="P75">
        <v>0.1198331558543506</v>
      </c>
      <c r="Q75">
        <v>0.766166526526019</v>
      </c>
      <c r="R75" t="s">
        <v>779</v>
      </c>
      <c r="S75" t="s">
        <v>785</v>
      </c>
      <c r="T75">
        <v>171823.469534</v>
      </c>
      <c r="U75" s="2">
        <v>44434</v>
      </c>
      <c r="V75" t="s">
        <v>794</v>
      </c>
    </row>
    <row r="76" spans="1:22">
      <c r="A76" s="1" t="s">
        <v>96</v>
      </c>
      <c r="B76">
        <f>HYPERLINK("https://www.suredividend.com/sure-analysis-UGI/","UGI Corp.")</f>
        <v>0</v>
      </c>
      <c r="C76">
        <v>45.36</v>
      </c>
      <c r="D76">
        <v>47</v>
      </c>
      <c r="E76">
        <v>0.9651063829787234</v>
      </c>
      <c r="F76">
        <v>0.03042328042328042</v>
      </c>
      <c r="G76">
        <v>0.00712867736542111</v>
      </c>
      <c r="H76">
        <v>0.016</v>
      </c>
      <c r="I76">
        <v>0.05089129570492079</v>
      </c>
      <c r="J76" t="s">
        <v>775</v>
      </c>
      <c r="K76" t="s">
        <v>775</v>
      </c>
      <c r="L76">
        <v>3</v>
      </c>
      <c r="M76">
        <v>1.38</v>
      </c>
      <c r="N76">
        <v>0.46</v>
      </c>
      <c r="O76">
        <v>34</v>
      </c>
      <c r="P76">
        <v>0.01681614782195462</v>
      </c>
      <c r="Q76">
        <v>0.270966552765529</v>
      </c>
      <c r="R76" t="s">
        <v>779</v>
      </c>
      <c r="S76" t="s">
        <v>791</v>
      </c>
      <c r="T76">
        <v>9371.722879000001</v>
      </c>
      <c r="U76" s="2">
        <v>44420</v>
      </c>
      <c r="V76" t="s">
        <v>804</v>
      </c>
    </row>
    <row r="77" spans="1:22">
      <c r="A77" s="1" t="s">
        <v>97</v>
      </c>
      <c r="B77">
        <f>HYPERLINK("https://www.suredividend.com/sure-analysis-ORCL/","Oracle Corp.")</f>
        <v>0</v>
      </c>
      <c r="C77">
        <v>94.02</v>
      </c>
      <c r="D77">
        <v>75</v>
      </c>
      <c r="E77">
        <v>1.2536</v>
      </c>
      <c r="F77">
        <v>0.01361412465432887</v>
      </c>
      <c r="G77">
        <v>-0.04419740937118033</v>
      </c>
      <c r="H77">
        <v>0.08</v>
      </c>
      <c r="I77">
        <v>0.04664094045881373</v>
      </c>
      <c r="J77" t="s">
        <v>775</v>
      </c>
      <c r="K77" t="s">
        <v>370</v>
      </c>
      <c r="L77">
        <v>4.7</v>
      </c>
      <c r="M77">
        <v>1.28</v>
      </c>
      <c r="N77">
        <v>0.2723404255319149</v>
      </c>
      <c r="O77">
        <v>12</v>
      </c>
      <c r="P77">
        <v>0.07056368416916192</v>
      </c>
      <c r="Q77">
        <v>0.668974278454994</v>
      </c>
      <c r="R77" t="s">
        <v>779</v>
      </c>
      <c r="S77" t="s">
        <v>785</v>
      </c>
      <c r="T77">
        <v>256129.26366</v>
      </c>
      <c r="U77" s="2">
        <v>44476</v>
      </c>
      <c r="V77" t="s">
        <v>797</v>
      </c>
    </row>
    <row r="78" spans="1:22">
      <c r="A78" s="1" t="s">
        <v>98</v>
      </c>
      <c r="B78">
        <f>HYPERLINK("https://www.suredividend.com/sure-analysis-VFC/","VF Corp.")</f>
        <v>0</v>
      </c>
      <c r="C78">
        <v>77.26000000000001</v>
      </c>
      <c r="D78">
        <v>61</v>
      </c>
      <c r="E78">
        <v>1.26655737704918</v>
      </c>
      <c r="F78">
        <v>0.02588661661920787</v>
      </c>
      <c r="G78">
        <v>-0.04616110848419919</v>
      </c>
      <c r="H78">
        <v>0.07000000000000001</v>
      </c>
      <c r="I78">
        <v>0.04609098611459639</v>
      </c>
      <c r="J78" t="s">
        <v>775</v>
      </c>
      <c r="K78" t="s">
        <v>776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-0.011315092719824</v>
      </c>
      <c r="R78" t="s">
        <v>779</v>
      </c>
      <c r="S78" t="s">
        <v>790</v>
      </c>
      <c r="T78">
        <v>30126.400416</v>
      </c>
      <c r="U78" s="2">
        <v>44493</v>
      </c>
      <c r="V78" t="s">
        <v>800</v>
      </c>
    </row>
    <row r="79" spans="1:22">
      <c r="A79" s="1" t="s">
        <v>99</v>
      </c>
      <c r="B79">
        <f>HYPERLINK("https://www.suredividend.com/sure-analysis-JKHY/","Jack Henry &amp; Associates, Inc.")</f>
        <v>0</v>
      </c>
      <c r="C79">
        <v>157</v>
      </c>
      <c r="D79">
        <v>117</v>
      </c>
      <c r="E79">
        <v>1.341880341880342</v>
      </c>
      <c r="F79">
        <v>0.01171974522292994</v>
      </c>
      <c r="G79">
        <v>-0.0571182238175556</v>
      </c>
      <c r="H79">
        <v>0.095</v>
      </c>
      <c r="I79">
        <v>0.04557133927780965</v>
      </c>
      <c r="J79" t="s">
        <v>775</v>
      </c>
      <c r="K79" t="s">
        <v>370</v>
      </c>
      <c r="L79">
        <v>4.68</v>
      </c>
      <c r="M79">
        <v>1.84</v>
      </c>
      <c r="N79">
        <v>0.3931623931623932</v>
      </c>
      <c r="O79">
        <v>31</v>
      </c>
      <c r="P79">
        <v>0.08991774272866437</v>
      </c>
      <c r="Q79">
        <v>-0.011950673951865</v>
      </c>
      <c r="R79" t="s">
        <v>779</v>
      </c>
      <c r="S79" t="s">
        <v>785</v>
      </c>
      <c r="T79">
        <v>11679.232388</v>
      </c>
      <c r="U79" s="2">
        <v>44512</v>
      </c>
      <c r="V79" t="s">
        <v>797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137.01</v>
      </c>
      <c r="D80">
        <v>114</v>
      </c>
      <c r="E80">
        <v>1.201842105263158</v>
      </c>
      <c r="F80">
        <v>0.02379388365812714</v>
      </c>
      <c r="G80">
        <v>-0.03610324766462036</v>
      </c>
      <c r="H80">
        <v>0.06</v>
      </c>
      <c r="I80">
        <v>0.04523541714357759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0.412188122741506</v>
      </c>
      <c r="R80" t="s">
        <v>779</v>
      </c>
      <c r="S80" t="s">
        <v>790</v>
      </c>
      <c r="T80">
        <v>19357.963988</v>
      </c>
      <c r="U80" s="2">
        <v>44499</v>
      </c>
      <c r="V80" t="s">
        <v>798</v>
      </c>
    </row>
    <row r="81" spans="1:22">
      <c r="A81" s="1" t="s">
        <v>101</v>
      </c>
      <c r="B81">
        <f>HYPERLINK("https://www.suredividend.com/sure-analysis-PSBQ/","PSB Holdings Inc (WI)")</f>
        <v>0</v>
      </c>
      <c r="C81">
        <v>26.25</v>
      </c>
      <c r="D81">
        <v>30</v>
      </c>
      <c r="E81">
        <v>0.875</v>
      </c>
      <c r="F81">
        <v>0.01752380952380952</v>
      </c>
      <c r="G81">
        <v>0.02706608708935176</v>
      </c>
      <c r="H81">
        <v>0</v>
      </c>
      <c r="I81">
        <v>0.04477497968063715</v>
      </c>
      <c r="J81" t="s">
        <v>775</v>
      </c>
      <c r="K81" t="s">
        <v>776</v>
      </c>
      <c r="L81">
        <v>3</v>
      </c>
      <c r="M81">
        <v>0.46</v>
      </c>
      <c r="N81">
        <v>0.1533333333333333</v>
      </c>
      <c r="O81">
        <v>28</v>
      </c>
      <c r="P81">
        <v>0.05103901130952315</v>
      </c>
      <c r="Q81">
        <v>0.35595846892918</v>
      </c>
      <c r="R81" t="s">
        <v>779</v>
      </c>
      <c r="S81" t="s">
        <v>789</v>
      </c>
      <c r="T81">
        <v>117.580706</v>
      </c>
      <c r="U81" s="2">
        <v>44512</v>
      </c>
      <c r="V81" t="s">
        <v>798</v>
      </c>
    </row>
    <row r="82" spans="1:22">
      <c r="A82" s="1" t="s">
        <v>102</v>
      </c>
      <c r="B82">
        <f>HYPERLINK("https://www.suredividend.com/sure-analysis-CSX/","CSX Corp.")</f>
        <v>0</v>
      </c>
      <c r="C82">
        <v>35.19</v>
      </c>
      <c r="D82">
        <v>28</v>
      </c>
      <c r="E82">
        <v>1.256785714285714</v>
      </c>
      <c r="F82">
        <v>0.01051435066780335</v>
      </c>
      <c r="G82">
        <v>-0.0446824572117217</v>
      </c>
      <c r="H82">
        <v>0.08</v>
      </c>
      <c r="I82">
        <v>0.04422036979180533</v>
      </c>
      <c r="J82" t="s">
        <v>775</v>
      </c>
      <c r="K82" t="s">
        <v>370</v>
      </c>
      <c r="L82">
        <v>1.55</v>
      </c>
      <c r="M82">
        <v>0.37</v>
      </c>
      <c r="N82">
        <v>0.2387096774193548</v>
      </c>
      <c r="O82">
        <v>16</v>
      </c>
      <c r="P82">
        <v>0.1087611317268407</v>
      </c>
      <c r="Q82">
        <v>0.176608109010754</v>
      </c>
      <c r="R82" t="s">
        <v>779</v>
      </c>
      <c r="S82" t="s">
        <v>786</v>
      </c>
      <c r="T82">
        <v>79425.89090899999</v>
      </c>
      <c r="U82" s="2">
        <v>44493</v>
      </c>
      <c r="V82" t="s">
        <v>798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162.93</v>
      </c>
      <c r="D83">
        <v>127</v>
      </c>
      <c r="E83">
        <v>1.282913385826772</v>
      </c>
      <c r="F83">
        <v>0.01448474805131038</v>
      </c>
      <c r="G83">
        <v>-0.04860572728450907</v>
      </c>
      <c r="H83">
        <v>0.08</v>
      </c>
      <c r="I83">
        <v>0.04347574589226211</v>
      </c>
      <c r="J83" t="s">
        <v>775</v>
      </c>
      <c r="K83" t="s">
        <v>776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0.147961629503267</v>
      </c>
      <c r="R83" t="s">
        <v>779</v>
      </c>
      <c r="S83" t="s">
        <v>787</v>
      </c>
      <c r="T83">
        <v>38373.473879</v>
      </c>
      <c r="U83" s="2">
        <v>44490</v>
      </c>
      <c r="V83" t="s">
        <v>795</v>
      </c>
    </row>
    <row r="84" spans="1:22">
      <c r="A84" s="1" t="s">
        <v>104</v>
      </c>
      <c r="B84">
        <f>HYPERLINK("https://www.suredividend.com/sure-analysis-FFMR/","First Farmers Financial Corp")</f>
        <v>0</v>
      </c>
      <c r="C84">
        <v>53</v>
      </c>
      <c r="D84">
        <v>45</v>
      </c>
      <c r="E84">
        <v>1.177777777777778</v>
      </c>
      <c r="F84">
        <v>0.02490566037735849</v>
      </c>
      <c r="G84">
        <v>-0.03219618698963334</v>
      </c>
      <c r="H84">
        <v>0.05</v>
      </c>
      <c r="I84">
        <v>0.04342447957030648</v>
      </c>
      <c r="J84" t="s">
        <v>775</v>
      </c>
      <c r="K84" t="s">
        <v>775</v>
      </c>
      <c r="L84">
        <v>4.5</v>
      </c>
      <c r="M84">
        <v>1.32</v>
      </c>
      <c r="N84">
        <v>0.2933333333333333</v>
      </c>
      <c r="O84">
        <v>30</v>
      </c>
      <c r="P84">
        <v>0.0698417929634616</v>
      </c>
      <c r="Q84">
        <v>0.193261581656527</v>
      </c>
      <c r="R84" t="s">
        <v>779</v>
      </c>
      <c r="S84" t="s">
        <v>789</v>
      </c>
      <c r="T84">
        <v>358.907451</v>
      </c>
      <c r="U84" s="2">
        <v>44253</v>
      </c>
      <c r="V84" t="s">
        <v>798</v>
      </c>
    </row>
    <row r="85" spans="1:22">
      <c r="A85" s="1" t="s">
        <v>105</v>
      </c>
      <c r="B85">
        <f>HYPERLINK("https://www.suredividend.com/sure-analysis-KR/","Kroger Co.")</f>
        <v>0</v>
      </c>
      <c r="C85">
        <v>42.66</v>
      </c>
      <c r="D85">
        <v>43</v>
      </c>
      <c r="E85">
        <v>0.9920930232558138</v>
      </c>
      <c r="F85">
        <v>0.01969057665260197</v>
      </c>
      <c r="G85">
        <v>0.001588941562087998</v>
      </c>
      <c r="H85">
        <v>0.02</v>
      </c>
      <c r="I85">
        <v>0.04297626179728309</v>
      </c>
      <c r="J85" t="s">
        <v>775</v>
      </c>
      <c r="K85" t="s">
        <v>776</v>
      </c>
      <c r="L85">
        <v>3.3</v>
      </c>
      <c r="M85">
        <v>0.84</v>
      </c>
      <c r="N85">
        <v>0.2545454545454546</v>
      </c>
      <c r="O85">
        <v>16</v>
      </c>
      <c r="P85">
        <v>0.07033701387905711</v>
      </c>
      <c r="Q85">
        <v>0.347061101904235</v>
      </c>
      <c r="R85" t="s">
        <v>779</v>
      </c>
      <c r="S85" t="s">
        <v>788</v>
      </c>
      <c r="T85">
        <v>31552.581088</v>
      </c>
      <c r="U85" s="2">
        <v>44451</v>
      </c>
      <c r="V85" t="s">
        <v>800</v>
      </c>
    </row>
    <row r="86" spans="1:22">
      <c r="A86" s="1" t="s">
        <v>106</v>
      </c>
      <c r="B86">
        <f>HYPERLINK("https://www.suredividend.com/sure-analysis-MDT/","Medtronic Plc")</f>
        <v>0</v>
      </c>
      <c r="C86">
        <v>117.58</v>
      </c>
      <c r="D86">
        <v>97</v>
      </c>
      <c r="E86">
        <v>1.212164948453608</v>
      </c>
      <c r="F86">
        <v>0.01973124681068209</v>
      </c>
      <c r="G86">
        <v>-0.03775058512082197</v>
      </c>
      <c r="H86">
        <v>0.06</v>
      </c>
      <c r="I86">
        <v>0.04292532496255586</v>
      </c>
      <c r="J86" t="s">
        <v>775</v>
      </c>
      <c r="K86" t="s">
        <v>776</v>
      </c>
      <c r="L86">
        <v>5.7</v>
      </c>
      <c r="M86">
        <v>2.32</v>
      </c>
      <c r="N86">
        <v>0.4070175438596491</v>
      </c>
      <c r="O86">
        <v>44</v>
      </c>
      <c r="P86">
        <v>0.0930602902721327</v>
      </c>
      <c r="Q86">
        <v>0.08187953786850401</v>
      </c>
      <c r="R86" t="s">
        <v>779</v>
      </c>
      <c r="S86" t="s">
        <v>784</v>
      </c>
      <c r="T86">
        <v>160341.207716</v>
      </c>
      <c r="U86" s="2">
        <v>44432</v>
      </c>
      <c r="V86" t="s">
        <v>800</v>
      </c>
    </row>
    <row r="87" spans="1:22">
      <c r="A87" s="1" t="s">
        <v>107</v>
      </c>
      <c r="B87">
        <f>HYPERLINK("https://www.suredividend.com/sure-analysis-SCL/","Stepan Co.")</f>
        <v>0</v>
      </c>
      <c r="C87">
        <v>124.09</v>
      </c>
      <c r="D87">
        <v>113</v>
      </c>
      <c r="E87">
        <v>1.098141592920354</v>
      </c>
      <c r="F87">
        <v>0.01079861390925941</v>
      </c>
      <c r="G87">
        <v>-0.01854965552724031</v>
      </c>
      <c r="H87">
        <v>0.05</v>
      </c>
      <c r="I87">
        <v>0.04238419699044638</v>
      </c>
      <c r="J87" t="s">
        <v>775</v>
      </c>
      <c r="K87" t="s">
        <v>776</v>
      </c>
      <c r="L87">
        <v>6.3</v>
      </c>
      <c r="M87">
        <v>1.34</v>
      </c>
      <c r="N87">
        <v>0.2126984126984127</v>
      </c>
      <c r="O87">
        <v>54</v>
      </c>
      <c r="P87">
        <v>0.08012069093414587</v>
      </c>
      <c r="Q87">
        <v>0.020846322357456</v>
      </c>
      <c r="R87" t="s">
        <v>779</v>
      </c>
      <c r="S87" t="s">
        <v>787</v>
      </c>
      <c r="T87">
        <v>2829.770087</v>
      </c>
      <c r="U87" s="2">
        <v>44499</v>
      </c>
      <c r="V87" t="s">
        <v>798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76.56999999999999</v>
      </c>
      <c r="D88">
        <v>70</v>
      </c>
      <c r="E88">
        <v>1.093857142857143</v>
      </c>
      <c r="F88">
        <v>0.00104479561185843</v>
      </c>
      <c r="G88">
        <v>-0.01778202286278774</v>
      </c>
      <c r="H88">
        <v>0.06</v>
      </c>
      <c r="I88">
        <v>0.04203869368172075</v>
      </c>
      <c r="J88" t="s">
        <v>775</v>
      </c>
      <c r="K88" t="s">
        <v>512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0.7720022267923611</v>
      </c>
      <c r="R88" t="s">
        <v>779</v>
      </c>
      <c r="S88" t="s">
        <v>786</v>
      </c>
      <c r="T88">
        <v>16979.354466</v>
      </c>
      <c r="U88" s="2">
        <v>44504</v>
      </c>
      <c r="V88" t="s">
        <v>799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43.43</v>
      </c>
      <c r="D89">
        <v>37</v>
      </c>
      <c r="E89">
        <v>1.173783783783784</v>
      </c>
      <c r="F89">
        <v>0.02256504720239466</v>
      </c>
      <c r="G89">
        <v>-0.03153845899646335</v>
      </c>
      <c r="H89">
        <v>0.05</v>
      </c>
      <c r="I89">
        <v>0.04026332582649861</v>
      </c>
      <c r="J89" t="s">
        <v>775</v>
      </c>
      <c r="K89" t="s">
        <v>776</v>
      </c>
      <c r="L89">
        <v>1.7</v>
      </c>
      <c r="M89">
        <v>0.98</v>
      </c>
      <c r="N89">
        <v>0.5764705882352941</v>
      </c>
      <c r="O89">
        <v>55</v>
      </c>
      <c r="P89">
        <v>0.04987304960985517</v>
      </c>
      <c r="Q89">
        <v>-0.149349669790158</v>
      </c>
      <c r="R89" t="s">
        <v>779</v>
      </c>
      <c r="S89" t="s">
        <v>788</v>
      </c>
      <c r="T89">
        <v>23557.818818</v>
      </c>
      <c r="U89" s="2">
        <v>44444</v>
      </c>
      <c r="V89" t="s">
        <v>798</v>
      </c>
    </row>
    <row r="90" spans="1:22">
      <c r="A90" s="1" t="s">
        <v>110</v>
      </c>
      <c r="B90">
        <f>HYPERLINK("https://www.suredividend.com/sure-analysis-CAT/","Caterpillar Inc.")</f>
        <v>0</v>
      </c>
      <c r="C90">
        <v>207.71</v>
      </c>
      <c r="D90">
        <v>168</v>
      </c>
      <c r="E90">
        <v>1.236369047619048</v>
      </c>
      <c r="F90">
        <v>0.0213759568629339</v>
      </c>
      <c r="G90">
        <v>-0.04154798403151394</v>
      </c>
      <c r="H90">
        <v>0.06</v>
      </c>
      <c r="I90">
        <v>0.04019093814349617</v>
      </c>
      <c r="J90" t="s">
        <v>775</v>
      </c>
      <c r="K90" t="s">
        <v>776</v>
      </c>
      <c r="L90">
        <v>10.5</v>
      </c>
      <c r="M90">
        <v>4.44</v>
      </c>
      <c r="N90">
        <v>0.4228571428571429</v>
      </c>
      <c r="O90">
        <v>28</v>
      </c>
      <c r="P90">
        <v>0.07987360286076095</v>
      </c>
      <c r="Q90">
        <v>0.237616150337806</v>
      </c>
      <c r="R90" t="s">
        <v>779</v>
      </c>
      <c r="S90" t="s">
        <v>786</v>
      </c>
      <c r="T90">
        <v>113202.848632</v>
      </c>
      <c r="U90" s="2">
        <v>44503</v>
      </c>
      <c r="V90" t="s">
        <v>800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76.2</v>
      </c>
      <c r="D91">
        <v>64</v>
      </c>
      <c r="E91">
        <v>1.190625</v>
      </c>
      <c r="F91">
        <v>0.01049868766404199</v>
      </c>
      <c r="G91">
        <v>-0.03429384253938439</v>
      </c>
      <c r="H91">
        <v>0.065</v>
      </c>
      <c r="I91">
        <v>0.03945026825565612</v>
      </c>
      <c r="J91" t="s">
        <v>775</v>
      </c>
      <c r="K91" t="s">
        <v>370</v>
      </c>
      <c r="L91">
        <v>3.37</v>
      </c>
      <c r="M91">
        <v>0.8</v>
      </c>
      <c r="N91">
        <v>0.2373887240356083</v>
      </c>
      <c r="O91">
        <v>44</v>
      </c>
      <c r="P91">
        <v>0.05988502997905321</v>
      </c>
      <c r="Q91">
        <v>0.4574266865552291</v>
      </c>
      <c r="R91" t="s">
        <v>779</v>
      </c>
      <c r="S91" t="s">
        <v>786</v>
      </c>
      <c r="T91">
        <v>12546.558565</v>
      </c>
      <c r="U91" s="2">
        <v>44503</v>
      </c>
      <c r="V91" t="s">
        <v>797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73.98</v>
      </c>
      <c r="D92">
        <v>62</v>
      </c>
      <c r="E92">
        <v>1.193225806451613</v>
      </c>
      <c r="F92">
        <v>0.01419302514193025</v>
      </c>
      <c r="G92">
        <v>-0.03471518901526827</v>
      </c>
      <c r="H92">
        <v>0.06</v>
      </c>
      <c r="I92">
        <v>0.03864595603440324</v>
      </c>
      <c r="J92" t="s">
        <v>775</v>
      </c>
      <c r="K92" t="s">
        <v>776</v>
      </c>
      <c r="L92">
        <v>4.4</v>
      </c>
      <c r="M92">
        <v>1.05</v>
      </c>
      <c r="N92">
        <v>0.2386363636363636</v>
      </c>
      <c r="O92">
        <v>53</v>
      </c>
      <c r="P92">
        <v>0.06961037572506878</v>
      </c>
      <c r="Q92">
        <v>0.14029378951283</v>
      </c>
      <c r="R92" t="s">
        <v>779</v>
      </c>
      <c r="S92" t="s">
        <v>789</v>
      </c>
      <c r="T92">
        <v>8549.052737</v>
      </c>
      <c r="U92" s="2">
        <v>44499</v>
      </c>
      <c r="V92" t="s">
        <v>797</v>
      </c>
    </row>
    <row r="93" spans="1:22">
      <c r="A93" s="1" t="s">
        <v>113</v>
      </c>
      <c r="B93">
        <f>HYPERLINK("https://www.suredividend.com/sure-analysis-EMR/","Emerson Electric Co.")</f>
        <v>0</v>
      </c>
      <c r="C93">
        <v>96.38</v>
      </c>
      <c r="D93">
        <v>78</v>
      </c>
      <c r="E93">
        <v>1.235641025641026</v>
      </c>
      <c r="F93">
        <v>0.02137372898941689</v>
      </c>
      <c r="G93">
        <v>-0.04143506940198449</v>
      </c>
      <c r="H93">
        <v>0.06</v>
      </c>
      <c r="I93">
        <v>0.03713009559924085</v>
      </c>
      <c r="J93" t="s">
        <v>775</v>
      </c>
      <c r="K93" t="s">
        <v>776</v>
      </c>
      <c r="L93">
        <v>4.1</v>
      </c>
      <c r="M93">
        <v>2.06</v>
      </c>
      <c r="N93">
        <v>0.5024390243902439</v>
      </c>
      <c r="O93">
        <v>65</v>
      </c>
      <c r="P93">
        <v>0.03016344758557654</v>
      </c>
      <c r="Q93">
        <v>0.313021175195733</v>
      </c>
      <c r="R93" t="s">
        <v>779</v>
      </c>
      <c r="S93" t="s">
        <v>786</v>
      </c>
      <c r="T93">
        <v>58237.676</v>
      </c>
      <c r="U93" s="2">
        <v>44427</v>
      </c>
      <c r="V93" t="s">
        <v>798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64.3</v>
      </c>
      <c r="D94">
        <v>53</v>
      </c>
      <c r="E94">
        <v>1.213207547169811</v>
      </c>
      <c r="F94">
        <v>0.006376360808709175</v>
      </c>
      <c r="G94">
        <v>-0.03791602837876029</v>
      </c>
      <c r="H94">
        <v>0.07000000000000001</v>
      </c>
      <c r="I94">
        <v>0.03672716573508739</v>
      </c>
      <c r="J94" t="s">
        <v>775</v>
      </c>
      <c r="K94" t="s">
        <v>370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0.377987651077807</v>
      </c>
      <c r="R94" t="s">
        <v>779</v>
      </c>
      <c r="S94" t="s">
        <v>789</v>
      </c>
      <c r="T94">
        <v>18222.179652</v>
      </c>
      <c r="U94" s="2">
        <v>44507</v>
      </c>
      <c r="V94" t="s">
        <v>798</v>
      </c>
    </row>
    <row r="95" spans="1:22">
      <c r="A95" s="1" t="s">
        <v>115</v>
      </c>
      <c r="B95">
        <f>HYPERLINK("https://www.suredividend.com/sure-analysis-SPGI/","S&amp;P Global Inc")</f>
        <v>0</v>
      </c>
      <c r="C95">
        <v>459.28</v>
      </c>
      <c r="D95">
        <v>355</v>
      </c>
      <c r="E95">
        <v>1.293746478873239</v>
      </c>
      <c r="F95">
        <v>0.006706148754572375</v>
      </c>
      <c r="G95">
        <v>-0.05020437705742609</v>
      </c>
      <c r="H95">
        <v>0.08</v>
      </c>
      <c r="I95">
        <v>0.03425927696130526</v>
      </c>
      <c r="J95" t="s">
        <v>775</v>
      </c>
      <c r="K95" t="s">
        <v>370</v>
      </c>
      <c r="L95">
        <v>13.65</v>
      </c>
      <c r="M95">
        <v>3.08</v>
      </c>
      <c r="N95">
        <v>0.2256410256410256</v>
      </c>
      <c r="O95">
        <v>48</v>
      </c>
      <c r="P95">
        <v>0.1200820117377759</v>
      </c>
      <c r="Q95">
        <v>0.336703593879869</v>
      </c>
      <c r="R95" t="s">
        <v>779</v>
      </c>
      <c r="S95" t="s">
        <v>789</v>
      </c>
      <c r="T95">
        <v>109259.76</v>
      </c>
      <c r="U95" s="2">
        <v>44512</v>
      </c>
      <c r="V95" t="s">
        <v>798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145.71</v>
      </c>
      <c r="D96">
        <v>112</v>
      </c>
      <c r="E96">
        <v>1.300982142857143</v>
      </c>
      <c r="F96">
        <v>0.01537300116670098</v>
      </c>
      <c r="G96">
        <v>-0.05126322972731123</v>
      </c>
      <c r="H96">
        <v>0.07000000000000001</v>
      </c>
      <c r="I96">
        <v>0.03285842964428554</v>
      </c>
      <c r="J96" t="s">
        <v>775</v>
      </c>
      <c r="K96" t="s">
        <v>370</v>
      </c>
      <c r="L96">
        <v>6.2</v>
      </c>
      <c r="M96">
        <v>2.24</v>
      </c>
      <c r="N96">
        <v>0.3612903225806452</v>
      </c>
      <c r="O96">
        <v>26</v>
      </c>
      <c r="P96">
        <v>0.0799150058822331</v>
      </c>
      <c r="Q96">
        <v>0.28035484652515</v>
      </c>
      <c r="R96" t="s">
        <v>779</v>
      </c>
      <c r="S96" t="s">
        <v>786</v>
      </c>
      <c r="T96">
        <v>8518.896076999999</v>
      </c>
      <c r="U96" s="2">
        <v>44500</v>
      </c>
      <c r="V96" t="s">
        <v>797</v>
      </c>
    </row>
    <row r="97" spans="1:22">
      <c r="A97" s="1" t="s">
        <v>117</v>
      </c>
      <c r="B97">
        <f>HYPERLINK("https://www.suredividend.com/sure-analysis-CHD/","Church &amp; Dwight Co., Inc.")</f>
        <v>0</v>
      </c>
      <c r="C97">
        <v>91.16</v>
      </c>
      <c r="D97">
        <v>75</v>
      </c>
      <c r="E97">
        <v>1.215466666666667</v>
      </c>
      <c r="F97">
        <v>0.01107942079859588</v>
      </c>
      <c r="G97">
        <v>-0.03827392882950875</v>
      </c>
      <c r="H97">
        <v>0.06</v>
      </c>
      <c r="I97">
        <v>0.03177112588091502</v>
      </c>
      <c r="J97" t="s">
        <v>775</v>
      </c>
      <c r="K97" t="s">
        <v>370</v>
      </c>
      <c r="L97">
        <v>3</v>
      </c>
      <c r="M97">
        <v>1.01</v>
      </c>
      <c r="N97">
        <v>0.3366666666666667</v>
      </c>
      <c r="O97">
        <v>25</v>
      </c>
      <c r="P97">
        <v>0.0705165705095081</v>
      </c>
      <c r="Q97">
        <v>0.041231228136402</v>
      </c>
      <c r="R97" t="s">
        <v>779</v>
      </c>
      <c r="S97" t="s">
        <v>788</v>
      </c>
      <c r="T97">
        <v>21953.821071</v>
      </c>
      <c r="U97" s="2">
        <v>44414</v>
      </c>
      <c r="V97" t="s">
        <v>798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37.3</v>
      </c>
      <c r="D98">
        <v>40</v>
      </c>
      <c r="E98">
        <v>0.9324999999999999</v>
      </c>
      <c r="F98">
        <v>0.02788203753351207</v>
      </c>
      <c r="G98">
        <v>0.01407536360886485</v>
      </c>
      <c r="H98">
        <v>-0.01</v>
      </c>
      <c r="I98">
        <v>0.03154014453137788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0.328225975320052</v>
      </c>
      <c r="R98" t="s">
        <v>779</v>
      </c>
      <c r="S98" t="s">
        <v>789</v>
      </c>
      <c r="T98">
        <v>589.501291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44.4</v>
      </c>
      <c r="D99">
        <v>48</v>
      </c>
      <c r="E99">
        <v>0.9249999999999999</v>
      </c>
      <c r="F99">
        <v>0.02387387387387388</v>
      </c>
      <c r="G99">
        <v>0.01571450260395091</v>
      </c>
      <c r="H99">
        <v>-0.01</v>
      </c>
      <c r="I99">
        <v>0.02920397444931688</v>
      </c>
      <c r="J99" t="s">
        <v>775</v>
      </c>
      <c r="K99" t="s">
        <v>775</v>
      </c>
      <c r="L99">
        <v>4.35</v>
      </c>
      <c r="M99">
        <v>1.06</v>
      </c>
      <c r="N99">
        <v>0.2436781609195403</v>
      </c>
      <c r="O99">
        <v>32</v>
      </c>
      <c r="P99">
        <v>0.01994322923769842</v>
      </c>
      <c r="Q99">
        <v>0.269623061126528</v>
      </c>
      <c r="R99" t="s">
        <v>779</v>
      </c>
      <c r="S99" t="s">
        <v>789</v>
      </c>
      <c r="T99">
        <v>575.375539</v>
      </c>
      <c r="U99" s="2">
        <v>44424</v>
      </c>
      <c r="V99" t="s">
        <v>798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173.5</v>
      </c>
      <c r="D100">
        <v>127</v>
      </c>
      <c r="E100">
        <v>1.366141732283465</v>
      </c>
      <c r="F100">
        <v>0.01152737752161383</v>
      </c>
      <c r="G100">
        <v>-0.06049120854726298</v>
      </c>
      <c r="H100">
        <v>0.08</v>
      </c>
      <c r="I100">
        <v>0.02697859477355657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0.428062763383234</v>
      </c>
      <c r="R100" t="s">
        <v>779</v>
      </c>
      <c r="S100" t="s">
        <v>786</v>
      </c>
      <c r="T100">
        <v>24889.187118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275.5</v>
      </c>
      <c r="D101">
        <v>252</v>
      </c>
      <c r="E101">
        <v>1.093253968253968</v>
      </c>
      <c r="F101">
        <v>0.02250453720508167</v>
      </c>
      <c r="G101">
        <v>-0.01767366410046833</v>
      </c>
      <c r="H101">
        <v>0.02</v>
      </c>
      <c r="I101">
        <v>0.02663173137900787</v>
      </c>
      <c r="J101" t="s">
        <v>775</v>
      </c>
      <c r="K101" t="s">
        <v>776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0.209386942503058</v>
      </c>
      <c r="R101" t="s">
        <v>779</v>
      </c>
      <c r="S101" t="s">
        <v>789</v>
      </c>
      <c r="T101">
        <v>10879.531171</v>
      </c>
      <c r="U101" s="2">
        <v>44508</v>
      </c>
      <c r="V101" t="s">
        <v>797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239.21</v>
      </c>
      <c r="D102">
        <v>184</v>
      </c>
      <c r="E102">
        <v>1.300054347826087</v>
      </c>
      <c r="F102">
        <v>0.00902972283767401</v>
      </c>
      <c r="G102">
        <v>-0.05112785352618254</v>
      </c>
      <c r="H102">
        <v>0.07000000000000001</v>
      </c>
      <c r="I102">
        <v>0.02525019244224613</v>
      </c>
      <c r="J102" t="s">
        <v>775</v>
      </c>
      <c r="K102" t="s">
        <v>370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0.7244108880467801</v>
      </c>
      <c r="R102" t="s">
        <v>779</v>
      </c>
      <c r="S102" t="s">
        <v>786</v>
      </c>
      <c r="T102">
        <v>12528.951509</v>
      </c>
      <c r="U102" s="2">
        <v>44509</v>
      </c>
      <c r="V102" t="s">
        <v>797</v>
      </c>
    </row>
    <row r="103" spans="1:22">
      <c r="A103" s="1" t="s">
        <v>123</v>
      </c>
      <c r="B103">
        <f>HYPERLINK("https://www.suredividend.com/sure-analysis-MCD/","McDonald`s Corp")</f>
        <v>0</v>
      </c>
      <c r="C103">
        <v>252.94</v>
      </c>
      <c r="D103">
        <v>186</v>
      </c>
      <c r="E103">
        <v>1.35989247311828</v>
      </c>
      <c r="F103">
        <v>0.02182335731794101</v>
      </c>
      <c r="G103">
        <v>-0.05962930638664776</v>
      </c>
      <c r="H103">
        <v>0.06</v>
      </c>
      <c r="I103">
        <v>0.02191822370431784</v>
      </c>
      <c r="J103" t="s">
        <v>775</v>
      </c>
      <c r="K103" t="s">
        <v>776</v>
      </c>
      <c r="L103">
        <v>9.300000000000001</v>
      </c>
      <c r="M103">
        <v>5.52</v>
      </c>
      <c r="N103">
        <v>0.5935483870967742</v>
      </c>
      <c r="O103">
        <v>47</v>
      </c>
      <c r="P103">
        <v>0.06008593430202303</v>
      </c>
      <c r="Q103">
        <v>0.202697204533852</v>
      </c>
      <c r="R103" t="s">
        <v>779</v>
      </c>
      <c r="S103" t="s">
        <v>790</v>
      </c>
      <c r="T103">
        <v>187312.011186</v>
      </c>
      <c r="U103" s="2">
        <v>44497</v>
      </c>
      <c r="V103" t="s">
        <v>800</v>
      </c>
    </row>
    <row r="104" spans="1:22">
      <c r="A104" s="1" t="s">
        <v>124</v>
      </c>
      <c r="B104">
        <f>HYPERLINK("https://www.suredividend.com/sure-analysis-COST/","Costco Wholesale Corp")</f>
        <v>0</v>
      </c>
      <c r="C104">
        <v>519.89</v>
      </c>
      <c r="D104">
        <v>362</v>
      </c>
      <c r="E104">
        <v>1.436160220994475</v>
      </c>
      <c r="F104">
        <v>0.006078208851872512</v>
      </c>
      <c r="G104">
        <v>-0.06983622648239096</v>
      </c>
      <c r="H104">
        <v>0.09</v>
      </c>
      <c r="I104">
        <v>0.02149000220125563</v>
      </c>
      <c r="J104" t="s">
        <v>775</v>
      </c>
      <c r="K104" t="s">
        <v>370</v>
      </c>
      <c r="L104">
        <v>12.05</v>
      </c>
      <c r="M104">
        <v>3.16</v>
      </c>
      <c r="N104">
        <v>0.2622406639004149</v>
      </c>
      <c r="O104">
        <v>18</v>
      </c>
      <c r="P104">
        <v>0.1000340793951375</v>
      </c>
      <c r="Q104">
        <v>0.411588800964259</v>
      </c>
      <c r="R104" t="s">
        <v>779</v>
      </c>
      <c r="S104" t="s">
        <v>788</v>
      </c>
      <c r="T104">
        <v>228498.020335</v>
      </c>
      <c r="U104" s="2">
        <v>44465</v>
      </c>
      <c r="V104" t="s">
        <v>798</v>
      </c>
    </row>
    <row r="105" spans="1:22">
      <c r="A105" s="1" t="s">
        <v>125</v>
      </c>
      <c r="B105">
        <f>HYPERLINK("https://www.suredividend.com/sure-analysis-TGT/","Target Corp")</f>
        <v>0</v>
      </c>
      <c r="C105">
        <v>263.43</v>
      </c>
      <c r="D105">
        <v>234</v>
      </c>
      <c r="E105">
        <v>1.125769230769231</v>
      </c>
      <c r="F105">
        <v>0.01366586949094636</v>
      </c>
      <c r="G105">
        <v>-0.02341482973603282</v>
      </c>
      <c r="H105">
        <v>0.03</v>
      </c>
      <c r="I105">
        <v>0.02135703839676739</v>
      </c>
      <c r="J105" t="s">
        <v>775</v>
      </c>
      <c r="K105" t="s">
        <v>776</v>
      </c>
      <c r="L105">
        <v>13</v>
      </c>
      <c r="M105">
        <v>3.6</v>
      </c>
      <c r="N105">
        <v>0.2769230769230769</v>
      </c>
      <c r="O105">
        <v>54</v>
      </c>
      <c r="P105">
        <v>0.06010506010596317</v>
      </c>
      <c r="Q105">
        <v>0.6137150261929241</v>
      </c>
      <c r="R105" t="s">
        <v>779</v>
      </c>
      <c r="S105" t="s">
        <v>788</v>
      </c>
      <c r="T105">
        <v>126899.914561</v>
      </c>
      <c r="U105" s="2">
        <v>44429</v>
      </c>
      <c r="V105" t="s">
        <v>798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147.4</v>
      </c>
      <c r="D106">
        <v>118</v>
      </c>
      <c r="E106">
        <v>1.249152542372881</v>
      </c>
      <c r="F106">
        <v>0.02360922659430122</v>
      </c>
      <c r="G106">
        <v>-0.04351777251937938</v>
      </c>
      <c r="H106">
        <v>0.04</v>
      </c>
      <c r="I106">
        <v>0.02091046878181047</v>
      </c>
      <c r="J106" t="s">
        <v>775</v>
      </c>
      <c r="K106" t="s">
        <v>776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0.041345450153118</v>
      </c>
      <c r="R106" t="s">
        <v>779</v>
      </c>
      <c r="S106" t="s">
        <v>788</v>
      </c>
      <c r="T106">
        <v>354667.552353</v>
      </c>
      <c r="U106" s="2">
        <v>44488</v>
      </c>
      <c r="V106" t="s">
        <v>800</v>
      </c>
    </row>
    <row r="107" spans="1:22">
      <c r="A107" s="1" t="s">
        <v>127</v>
      </c>
      <c r="B107">
        <f>HYPERLINK("https://www.suredividend.com/sure-analysis-OZK/","Bank OZK")</f>
        <v>0</v>
      </c>
      <c r="C107">
        <v>47.45</v>
      </c>
      <c r="D107">
        <v>46</v>
      </c>
      <c r="E107">
        <v>1.031521739130435</v>
      </c>
      <c r="F107">
        <v>0.0244467860906217</v>
      </c>
      <c r="G107">
        <v>-0.006187801924014913</v>
      </c>
      <c r="H107">
        <v>0</v>
      </c>
      <c r="I107">
        <v>0.01977008826191584</v>
      </c>
      <c r="J107" t="s">
        <v>775</v>
      </c>
      <c r="K107" t="s">
        <v>776</v>
      </c>
      <c r="L107">
        <v>4.2</v>
      </c>
      <c r="M107">
        <v>1.16</v>
      </c>
      <c r="N107">
        <v>0.2761904761904762</v>
      </c>
      <c r="O107">
        <v>25</v>
      </c>
      <c r="P107">
        <v>0.02927011184548056</v>
      </c>
      <c r="Q107">
        <v>0.706921874943613</v>
      </c>
      <c r="R107" t="s">
        <v>779</v>
      </c>
      <c r="S107" t="s">
        <v>789</v>
      </c>
      <c r="T107">
        <v>5750.600472</v>
      </c>
      <c r="U107" s="2">
        <v>44493</v>
      </c>
      <c r="V107" t="s">
        <v>800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390.78</v>
      </c>
      <c r="D108">
        <v>309</v>
      </c>
      <c r="E108">
        <v>1.264660194174757</v>
      </c>
      <c r="F108">
        <v>0.006346281795383592</v>
      </c>
      <c r="G108">
        <v>-0.04587509933797629</v>
      </c>
      <c r="H108">
        <v>0.06</v>
      </c>
      <c r="I108">
        <v>0.01962415059103129</v>
      </c>
      <c r="J108" t="s">
        <v>775</v>
      </c>
      <c r="K108" t="s">
        <v>512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0.420012581834071</v>
      </c>
      <c r="R108" t="s">
        <v>779</v>
      </c>
      <c r="S108" t="s">
        <v>789</v>
      </c>
      <c r="T108">
        <v>72132.91800000001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HYPERLINK("https://www.suredividend.com/sure-analysis-FUL/","H.B. Fuller Company")</f>
        <v>0</v>
      </c>
      <c r="C109">
        <v>78.98999999999999</v>
      </c>
      <c r="D109">
        <v>54</v>
      </c>
      <c r="E109">
        <v>1.462777777777778</v>
      </c>
      <c r="F109">
        <v>0.008482086340043044</v>
      </c>
      <c r="G109">
        <v>-0.07324629871168986</v>
      </c>
      <c r="H109">
        <v>0.09</v>
      </c>
      <c r="I109">
        <v>0.01947408037601184</v>
      </c>
      <c r="J109" t="s">
        <v>775</v>
      </c>
      <c r="K109" t="s">
        <v>370</v>
      </c>
      <c r="L109">
        <v>3.6</v>
      </c>
      <c r="M109">
        <v>0.67</v>
      </c>
      <c r="N109">
        <v>0.1861111111111111</v>
      </c>
      <c r="O109">
        <v>52</v>
      </c>
      <c r="P109">
        <v>0.05119849323654324</v>
      </c>
      <c r="Q109">
        <v>0.538147149672642</v>
      </c>
      <c r="R109" t="s">
        <v>779</v>
      </c>
      <c r="S109" t="s">
        <v>787</v>
      </c>
      <c r="T109">
        <v>4113.931269</v>
      </c>
      <c r="U109" s="2">
        <v>44463</v>
      </c>
      <c r="V109" t="s">
        <v>802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56</v>
      </c>
      <c r="D110">
        <v>37</v>
      </c>
      <c r="E110">
        <v>1.513513513513514</v>
      </c>
      <c r="F110">
        <v>0.01928571428571429</v>
      </c>
      <c r="G110">
        <v>-0.07954462228150783</v>
      </c>
      <c r="H110">
        <v>0.08</v>
      </c>
      <c r="I110">
        <v>0.01806273914832102</v>
      </c>
      <c r="J110" t="s">
        <v>775</v>
      </c>
      <c r="K110" t="s">
        <v>776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-0.053342633348056</v>
      </c>
      <c r="R110" t="s">
        <v>779</v>
      </c>
      <c r="S110" t="s">
        <v>785</v>
      </c>
      <c r="T110">
        <v>1524.333965</v>
      </c>
      <c r="U110" s="2">
        <v>44477</v>
      </c>
      <c r="V110" t="s">
        <v>802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212</v>
      </c>
      <c r="D111">
        <v>192</v>
      </c>
      <c r="E111">
        <v>1.104166666666667</v>
      </c>
      <c r="F111">
        <v>0.01339622641509434</v>
      </c>
      <c r="G111">
        <v>-0.01962309128599571</v>
      </c>
      <c r="H111">
        <v>0.02</v>
      </c>
      <c r="I111">
        <v>0.01550405633198437</v>
      </c>
      <c r="J111" t="s">
        <v>775</v>
      </c>
      <c r="K111" t="s">
        <v>370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1.284017196591064</v>
      </c>
      <c r="R111" t="s">
        <v>779</v>
      </c>
      <c r="S111" t="s">
        <v>790</v>
      </c>
      <c r="T111">
        <v>15653.203778</v>
      </c>
      <c r="U111" s="2">
        <v>44435</v>
      </c>
      <c r="V111" t="s">
        <v>800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193.16</v>
      </c>
      <c r="D112">
        <v>148</v>
      </c>
      <c r="E112">
        <v>1.305135135135135</v>
      </c>
      <c r="F112">
        <v>0.01656657693104163</v>
      </c>
      <c r="G112">
        <v>-0.05186778338442855</v>
      </c>
      <c r="H112">
        <v>0.05</v>
      </c>
      <c r="I112">
        <v>0.01464552665151575</v>
      </c>
      <c r="J112" t="s">
        <v>775</v>
      </c>
      <c r="K112" t="s">
        <v>776</v>
      </c>
      <c r="L112">
        <v>12.2</v>
      </c>
      <c r="M112">
        <v>3.2</v>
      </c>
      <c r="N112">
        <v>0.2622950819672131</v>
      </c>
      <c r="O112">
        <v>28</v>
      </c>
      <c r="P112">
        <v>0.05488534927137567</v>
      </c>
      <c r="Q112">
        <v>0.316432606897003</v>
      </c>
      <c r="R112" t="s">
        <v>779</v>
      </c>
      <c r="S112" t="s">
        <v>789</v>
      </c>
      <c r="T112">
        <v>83064.148435</v>
      </c>
      <c r="U112" s="2">
        <v>44506</v>
      </c>
      <c r="V112" t="s">
        <v>797</v>
      </c>
    </row>
    <row r="113" spans="1:22">
      <c r="A113" s="1" t="s">
        <v>133</v>
      </c>
      <c r="B113">
        <f>HYPERLINK("https://www.suredividend.com/sure-analysis-RPM/","RPM International, Inc.")</f>
        <v>0</v>
      </c>
      <c r="C113">
        <v>94.45</v>
      </c>
      <c r="D113">
        <v>72</v>
      </c>
      <c r="E113">
        <v>1.311805555555556</v>
      </c>
      <c r="F113">
        <v>0.01694017998941239</v>
      </c>
      <c r="G113">
        <v>-0.05283398505312931</v>
      </c>
      <c r="H113">
        <v>0.05</v>
      </c>
      <c r="I113">
        <v>0.01384036397176991</v>
      </c>
      <c r="J113" t="s">
        <v>775</v>
      </c>
      <c r="K113" t="s">
        <v>776</v>
      </c>
      <c r="L113">
        <v>4</v>
      </c>
      <c r="M113">
        <v>1.6</v>
      </c>
      <c r="N113">
        <v>0.4</v>
      </c>
      <c r="O113">
        <v>48</v>
      </c>
      <c r="P113">
        <v>0.04978904632428516</v>
      </c>
      <c r="Q113">
        <v>0.05872139553180201</v>
      </c>
      <c r="R113" t="s">
        <v>779</v>
      </c>
      <c r="S113" t="s">
        <v>787</v>
      </c>
      <c r="T113">
        <v>12149.173024</v>
      </c>
      <c r="U113" s="2">
        <v>44475</v>
      </c>
      <c r="V113" t="s">
        <v>795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183.13</v>
      </c>
      <c r="D114">
        <v>131</v>
      </c>
      <c r="E114">
        <v>1.39793893129771</v>
      </c>
      <c r="F114">
        <v>0.009392235024299677</v>
      </c>
      <c r="G114">
        <v>-0.06480460413356837</v>
      </c>
      <c r="H114">
        <v>0.07000000000000001</v>
      </c>
      <c r="I114">
        <v>0.01226524821242703</v>
      </c>
      <c r="J114" t="s">
        <v>775</v>
      </c>
      <c r="K114" t="s">
        <v>370</v>
      </c>
      <c r="L114">
        <v>8.75</v>
      </c>
      <c r="M114">
        <v>1.72</v>
      </c>
      <c r="N114">
        <v>0.1965714285714286</v>
      </c>
      <c r="O114">
        <v>9</v>
      </c>
      <c r="P114">
        <v>0.08023542380212056</v>
      </c>
      <c r="Q114">
        <v>0.6002301502046801</v>
      </c>
      <c r="R114" t="s">
        <v>779</v>
      </c>
      <c r="S114" t="s">
        <v>789</v>
      </c>
      <c r="T114">
        <v>144499.432194</v>
      </c>
      <c r="U114" s="2">
        <v>44491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239.02</v>
      </c>
      <c r="D115">
        <v>160</v>
      </c>
      <c r="E115">
        <v>1.493875</v>
      </c>
      <c r="F115">
        <v>0.02041670153125261</v>
      </c>
      <c r="G115">
        <v>-0.07713718319683693</v>
      </c>
      <c r="H115">
        <v>0.07000000000000001</v>
      </c>
      <c r="I115">
        <v>0.01055628059400981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0.15282589473379</v>
      </c>
      <c r="R115" t="s">
        <v>779</v>
      </c>
      <c r="S115" t="s">
        <v>786</v>
      </c>
      <c r="T115">
        <v>74888.802178</v>
      </c>
      <c r="U115" s="2">
        <v>44501</v>
      </c>
      <c r="V115" t="s">
        <v>800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50.36</v>
      </c>
      <c r="D116">
        <v>60</v>
      </c>
      <c r="E116">
        <v>0.8393333333333334</v>
      </c>
      <c r="F116">
        <v>0.02462271644162033</v>
      </c>
      <c r="G116">
        <v>0.03565022959306252</v>
      </c>
      <c r="H116">
        <v>-0.05</v>
      </c>
      <c r="I116">
        <v>0.01031582928834385</v>
      </c>
      <c r="J116" t="s">
        <v>775</v>
      </c>
      <c r="K116" t="s">
        <v>775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0.3979592688539461</v>
      </c>
      <c r="R116" t="s">
        <v>779</v>
      </c>
      <c r="S116" t="s">
        <v>789</v>
      </c>
      <c r="T116">
        <v>1256.311337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150</v>
      </c>
      <c r="D117">
        <v>108</v>
      </c>
      <c r="E117">
        <v>1.388888888888889</v>
      </c>
      <c r="F117">
        <v>0.005866666666666667</v>
      </c>
      <c r="G117">
        <v>-0.06358901599075895</v>
      </c>
      <c r="H117">
        <v>0.07000000000000001</v>
      </c>
      <c r="I117">
        <v>0.01013992105887507</v>
      </c>
      <c r="J117" t="s">
        <v>775</v>
      </c>
      <c r="K117" t="s">
        <v>370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0.265425510823062</v>
      </c>
      <c r="R117" t="s">
        <v>779</v>
      </c>
      <c r="S117" t="s">
        <v>785</v>
      </c>
      <c r="T117">
        <v>2460795.48603</v>
      </c>
      <c r="U117" s="2">
        <v>44500</v>
      </c>
      <c r="V117" t="s">
        <v>800</v>
      </c>
    </row>
    <row r="118" spans="1:22">
      <c r="A118" s="1" t="s">
        <v>138</v>
      </c>
      <c r="B118">
        <f>HYPERLINK("https://www.suredividend.com/sure-analysis-GRC/","Gorman-Rupp Co.")</f>
        <v>0</v>
      </c>
      <c r="C118">
        <v>45.81</v>
      </c>
      <c r="D118">
        <v>33</v>
      </c>
      <c r="E118">
        <v>1.388181818181818</v>
      </c>
      <c r="F118">
        <v>0.01484392054136651</v>
      </c>
      <c r="G118">
        <v>-0.06349364319289996</v>
      </c>
      <c r="H118">
        <v>0.06</v>
      </c>
      <c r="I118">
        <v>0.00985717363458849</v>
      </c>
      <c r="J118" t="s">
        <v>775</v>
      </c>
      <c r="K118" t="s">
        <v>776</v>
      </c>
      <c r="L118">
        <v>1.3</v>
      </c>
      <c r="M118">
        <v>0.68</v>
      </c>
      <c r="N118">
        <v>0.5230769230769231</v>
      </c>
      <c r="O118">
        <v>49</v>
      </c>
      <c r="P118">
        <v>0.0505145404837426</v>
      </c>
      <c r="Q118">
        <v>0.391262712583487</v>
      </c>
      <c r="R118" t="s">
        <v>779</v>
      </c>
      <c r="S118" t="s">
        <v>786</v>
      </c>
      <c r="T118">
        <v>1199.474042</v>
      </c>
      <c r="U118" s="2">
        <v>44499</v>
      </c>
      <c r="V118" t="s">
        <v>798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129.44</v>
      </c>
      <c r="D119">
        <v>101</v>
      </c>
      <c r="E119">
        <v>1.281584158415842</v>
      </c>
      <c r="F119">
        <v>0.01390605686032139</v>
      </c>
      <c r="G119">
        <v>-0.04840845658463644</v>
      </c>
      <c r="H119">
        <v>0.04</v>
      </c>
      <c r="I119">
        <v>0.006866169331690042</v>
      </c>
      <c r="J119" t="s">
        <v>775</v>
      </c>
      <c r="K119" t="s">
        <v>776</v>
      </c>
      <c r="L119">
        <v>5.05</v>
      </c>
      <c r="M119">
        <v>1.8</v>
      </c>
      <c r="N119">
        <v>0.3564356435643565</v>
      </c>
      <c r="O119">
        <v>49</v>
      </c>
      <c r="P119">
        <v>0.06961037572506878</v>
      </c>
      <c r="Q119">
        <v>0.158396912144003</v>
      </c>
      <c r="R119" t="s">
        <v>779</v>
      </c>
      <c r="S119" t="s">
        <v>784</v>
      </c>
      <c r="T119">
        <v>227136.461168</v>
      </c>
      <c r="U119" s="2">
        <v>44490</v>
      </c>
      <c r="V119" t="s">
        <v>800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215.91</v>
      </c>
      <c r="D120">
        <v>179</v>
      </c>
      <c r="E120">
        <v>1.206201117318436</v>
      </c>
      <c r="F120">
        <v>0.02000833680700292</v>
      </c>
      <c r="G120">
        <v>-0.03680092972048488</v>
      </c>
      <c r="H120">
        <v>0.02</v>
      </c>
      <c r="I120">
        <v>0.005917371740725041</v>
      </c>
      <c r="J120" t="s">
        <v>775</v>
      </c>
      <c r="K120" t="s">
        <v>776</v>
      </c>
      <c r="L120">
        <v>12.74</v>
      </c>
      <c r="M120">
        <v>4.32</v>
      </c>
      <c r="N120">
        <v>0.3390894819466248</v>
      </c>
      <c r="O120">
        <v>35</v>
      </c>
      <c r="P120">
        <v>0.04563955259127317</v>
      </c>
      <c r="Q120">
        <v>0.605206972418966</v>
      </c>
      <c r="R120" t="s">
        <v>779</v>
      </c>
      <c r="S120" t="s">
        <v>789</v>
      </c>
      <c r="T120">
        <v>48766.546621</v>
      </c>
      <c r="U120" s="2">
        <v>44502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93.14</v>
      </c>
      <c r="D121">
        <v>59</v>
      </c>
      <c r="E121">
        <v>1.57864406779661</v>
      </c>
      <c r="F121">
        <v>0.007515567962207429</v>
      </c>
      <c r="G121">
        <v>-0.08726825507603864</v>
      </c>
      <c r="H121">
        <v>0.09</v>
      </c>
      <c r="I121">
        <v>0.004594138439460549</v>
      </c>
      <c r="J121" t="s">
        <v>775</v>
      </c>
      <c r="K121" t="s">
        <v>370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0.433530745582671</v>
      </c>
      <c r="R121" t="s">
        <v>779</v>
      </c>
      <c r="S121" t="s">
        <v>786</v>
      </c>
      <c r="T121">
        <v>4356.132308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HYPERLINK("https://www.suredividend.com/sure-analysis-GWW/","W.W. Grainger Inc.")</f>
        <v>0</v>
      </c>
      <c r="C122">
        <v>484.42</v>
      </c>
      <c r="D122">
        <v>356</v>
      </c>
      <c r="E122">
        <v>1.360730337078652</v>
      </c>
      <c r="F122">
        <v>0.01337682176623591</v>
      </c>
      <c r="G122">
        <v>-0.05974514077689053</v>
      </c>
      <c r="H122">
        <v>0.05</v>
      </c>
      <c r="I122">
        <v>0.003558006775852496</v>
      </c>
      <c r="J122" t="s">
        <v>775</v>
      </c>
      <c r="K122" t="s">
        <v>776</v>
      </c>
      <c r="L122">
        <v>19.75</v>
      </c>
      <c r="M122">
        <v>6.48</v>
      </c>
      <c r="N122">
        <v>0.3281012658227848</v>
      </c>
      <c r="O122">
        <v>50</v>
      </c>
      <c r="P122">
        <v>0.06020279266594519</v>
      </c>
      <c r="Q122">
        <v>0.232551766897418</v>
      </c>
      <c r="R122" t="s">
        <v>779</v>
      </c>
      <c r="S122" t="s">
        <v>786</v>
      </c>
      <c r="T122">
        <v>25236.064622</v>
      </c>
      <c r="U122" s="2">
        <v>44505</v>
      </c>
      <c r="V122" t="s">
        <v>800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168.85</v>
      </c>
      <c r="D123">
        <v>102</v>
      </c>
      <c r="E123">
        <v>1.655392156862745</v>
      </c>
      <c r="F123">
        <v>0.006514657980456027</v>
      </c>
      <c r="G123">
        <v>-0.0958930216506787</v>
      </c>
      <c r="H123">
        <v>0.1</v>
      </c>
      <c r="I123">
        <v>0.003300659698376673</v>
      </c>
      <c r="J123" t="s">
        <v>775</v>
      </c>
      <c r="K123" t="s">
        <v>370</v>
      </c>
      <c r="L123">
        <v>4.25</v>
      </c>
      <c r="M123">
        <v>1.1</v>
      </c>
      <c r="N123">
        <v>0.2588235294117647</v>
      </c>
      <c r="O123">
        <v>19</v>
      </c>
      <c r="P123">
        <v>0.09980608000232882</v>
      </c>
      <c r="Q123">
        <v>0.328328697131787</v>
      </c>
      <c r="R123" t="s">
        <v>779</v>
      </c>
      <c r="S123" t="s">
        <v>790</v>
      </c>
      <c r="T123">
        <v>265442.557405</v>
      </c>
      <c r="U123" s="2">
        <v>44464</v>
      </c>
      <c r="V123" t="s">
        <v>800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222.89</v>
      </c>
      <c r="D124">
        <v>152</v>
      </c>
      <c r="E124">
        <v>1.466381578947368</v>
      </c>
      <c r="F124">
        <v>0.009331957467809234</v>
      </c>
      <c r="G124">
        <v>-0.07370226790587564</v>
      </c>
      <c r="H124">
        <v>0.065</v>
      </c>
      <c r="I124">
        <v>-0.001450017788556246</v>
      </c>
      <c r="J124" t="s">
        <v>775</v>
      </c>
      <c r="K124" t="s">
        <v>512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0.6952335545251831</v>
      </c>
      <c r="R124" t="s">
        <v>779</v>
      </c>
      <c r="S124" t="s">
        <v>790</v>
      </c>
      <c r="T124">
        <v>25171.308592</v>
      </c>
      <c r="U124" s="2">
        <v>44491</v>
      </c>
      <c r="V124" t="s">
        <v>804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70.72</v>
      </c>
      <c r="D125">
        <v>43</v>
      </c>
      <c r="E125">
        <v>1.644651162790698</v>
      </c>
      <c r="F125">
        <v>0.01923076923076923</v>
      </c>
      <c r="G125">
        <v>-0.09471517453534217</v>
      </c>
      <c r="H125">
        <v>0.076</v>
      </c>
      <c r="I125">
        <v>-0.001628053914902394</v>
      </c>
      <c r="J125" t="s">
        <v>775</v>
      </c>
      <c r="K125" t="s">
        <v>776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0.096947664110462</v>
      </c>
      <c r="R125" t="s">
        <v>779</v>
      </c>
      <c r="S125" t="s">
        <v>791</v>
      </c>
      <c r="T125">
        <v>2122.136478</v>
      </c>
      <c r="U125" s="2">
        <v>44502</v>
      </c>
      <c r="V125" t="s">
        <v>795</v>
      </c>
    </row>
    <row r="126" spans="1:22">
      <c r="A126" s="1" t="s">
        <v>146</v>
      </c>
      <c r="B126">
        <f>HYPERLINK("https://www.suredividend.com/sure-analysis-UBSI/","United Bankshares, Inc.")</f>
        <v>0</v>
      </c>
      <c r="C126">
        <v>38.63</v>
      </c>
      <c r="D126">
        <v>34</v>
      </c>
      <c r="E126">
        <v>1.136176470588235</v>
      </c>
      <c r="F126">
        <v>0.03624126326689101</v>
      </c>
      <c r="G126">
        <v>-0.02521050164058247</v>
      </c>
      <c r="H126">
        <v>-0.02</v>
      </c>
      <c r="I126">
        <v>-0.00235535494522443</v>
      </c>
      <c r="J126" t="s">
        <v>775</v>
      </c>
      <c r="K126" t="s">
        <v>775</v>
      </c>
      <c r="L126">
        <v>2.85</v>
      </c>
      <c r="M126">
        <v>1.4</v>
      </c>
      <c r="N126">
        <v>0.4912280701754386</v>
      </c>
      <c r="O126">
        <v>46</v>
      </c>
      <c r="P126">
        <v>0.02056514630321193</v>
      </c>
      <c r="Q126">
        <v>0.372464331990019</v>
      </c>
      <c r="R126" t="s">
        <v>779</v>
      </c>
      <c r="S126" t="s">
        <v>789</v>
      </c>
      <c r="T126">
        <v>4967.861771</v>
      </c>
      <c r="U126" s="2">
        <v>44501</v>
      </c>
      <c r="V126" t="s">
        <v>798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81.76000000000001</v>
      </c>
      <c r="D127">
        <v>55</v>
      </c>
      <c r="E127">
        <v>1.486545454545455</v>
      </c>
      <c r="F127">
        <v>0.0136986301369863</v>
      </c>
      <c r="G127">
        <v>-0.07622892119309643</v>
      </c>
      <c r="H127">
        <v>0.06</v>
      </c>
      <c r="I127">
        <v>-0.002580601090772516</v>
      </c>
      <c r="J127" t="s">
        <v>775</v>
      </c>
      <c r="K127" t="s">
        <v>370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0.516108537783589</v>
      </c>
      <c r="R127" t="s">
        <v>779</v>
      </c>
      <c r="S127" t="s">
        <v>786</v>
      </c>
      <c r="T127">
        <v>13254.41558</v>
      </c>
      <c r="U127" s="2">
        <v>44510</v>
      </c>
      <c r="V127" t="s">
        <v>797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334.01</v>
      </c>
      <c r="D128">
        <v>222</v>
      </c>
      <c r="E128">
        <v>1.50454954954955</v>
      </c>
      <c r="F128">
        <v>0.01269423071165534</v>
      </c>
      <c r="G128">
        <v>-0.07845042959950077</v>
      </c>
      <c r="H128">
        <v>0.06</v>
      </c>
      <c r="I128">
        <v>-0.006567677746347478</v>
      </c>
      <c r="J128" t="s">
        <v>775</v>
      </c>
      <c r="K128" t="s">
        <v>370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0.33075463920131</v>
      </c>
      <c r="R128" t="s">
        <v>779</v>
      </c>
      <c r="S128" t="s">
        <v>787</v>
      </c>
      <c r="T128">
        <v>172741.195442</v>
      </c>
      <c r="U128" s="2">
        <v>44503</v>
      </c>
      <c r="V128" t="s">
        <v>797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336.07</v>
      </c>
      <c r="D129">
        <v>216</v>
      </c>
      <c r="E129">
        <v>1.55587962962963</v>
      </c>
      <c r="F129">
        <v>0.007379415002826792</v>
      </c>
      <c r="G129">
        <v>-0.08461287228278946</v>
      </c>
      <c r="H129">
        <v>0.07000000000000001</v>
      </c>
      <c r="I129">
        <v>-0.01028443546380475</v>
      </c>
      <c r="J129" t="s">
        <v>775</v>
      </c>
      <c r="K129" t="s">
        <v>370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0.5694872877682351</v>
      </c>
      <c r="R129" t="s">
        <v>779</v>
      </c>
      <c r="S129" t="s">
        <v>785</v>
      </c>
      <c r="T129">
        <v>2528087.175104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78.95</v>
      </c>
      <c r="D130">
        <v>52.2</v>
      </c>
      <c r="E130">
        <v>1.512452107279693</v>
      </c>
      <c r="F130">
        <v>0.01963267891070298</v>
      </c>
      <c r="G130">
        <v>-0.07941546738952598</v>
      </c>
      <c r="H130">
        <v>0.038</v>
      </c>
      <c r="I130">
        <v>-0.02009975015630794</v>
      </c>
      <c r="J130" t="s">
        <v>775</v>
      </c>
      <c r="K130" t="s">
        <v>776</v>
      </c>
      <c r="L130">
        <v>2.9</v>
      </c>
      <c r="M130">
        <v>1.55</v>
      </c>
      <c r="N130">
        <v>0.5344827586206897</v>
      </c>
      <c r="O130">
        <v>46</v>
      </c>
      <c r="P130">
        <v>0.02805810383354745</v>
      </c>
      <c r="Q130">
        <v>0.11051500614971</v>
      </c>
      <c r="R130" t="s">
        <v>779</v>
      </c>
      <c r="S130" t="s">
        <v>791</v>
      </c>
      <c r="T130">
        <v>2814.595087</v>
      </c>
      <c r="U130" s="2">
        <v>44420</v>
      </c>
      <c r="V130" t="s">
        <v>804</v>
      </c>
    </row>
    <row r="131" spans="1:22">
      <c r="A131" s="1" t="s">
        <v>151</v>
      </c>
      <c r="B131">
        <f>HYPERLINK("https://www.suredividend.com/sure-analysis-CWT/","California Water Service Group")</f>
        <v>0</v>
      </c>
      <c r="C131">
        <v>63.49</v>
      </c>
      <c r="D131">
        <v>40</v>
      </c>
      <c r="E131">
        <v>1.58725</v>
      </c>
      <c r="F131">
        <v>0.01449047094030556</v>
      </c>
      <c r="G131">
        <v>-0.08826015913631791</v>
      </c>
      <c r="H131">
        <v>0.05</v>
      </c>
      <c r="I131">
        <v>-0.02290172573860971</v>
      </c>
      <c r="J131" t="s">
        <v>775</v>
      </c>
      <c r="K131" t="s">
        <v>776</v>
      </c>
      <c r="L131">
        <v>2.02</v>
      </c>
      <c r="M131">
        <v>0.92</v>
      </c>
      <c r="N131">
        <v>0.4554455445544555</v>
      </c>
      <c r="O131">
        <v>53</v>
      </c>
      <c r="P131">
        <v>0.05979888147511248</v>
      </c>
      <c r="Q131">
        <v>0.216415306478501</v>
      </c>
      <c r="R131" t="s">
        <v>779</v>
      </c>
      <c r="S131" t="s">
        <v>791</v>
      </c>
      <c r="T131">
        <v>3301.152</v>
      </c>
      <c r="U131" s="2">
        <v>44504</v>
      </c>
      <c r="V131" t="s">
        <v>797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84.83</v>
      </c>
      <c r="D132">
        <v>77</v>
      </c>
      <c r="E132">
        <v>1.101688311688312</v>
      </c>
      <c r="F132">
        <v>0.02687728397972415</v>
      </c>
      <c r="G132">
        <v>-0.01918239702525271</v>
      </c>
      <c r="H132">
        <v>-0.04</v>
      </c>
      <c r="I132">
        <v>-0.02370096671392308</v>
      </c>
      <c r="J132" t="s">
        <v>775</v>
      </c>
      <c r="K132" t="s">
        <v>775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0.343658903802415</v>
      </c>
      <c r="R132" t="s">
        <v>779</v>
      </c>
      <c r="S132" t="s">
        <v>789</v>
      </c>
      <c r="T132">
        <v>1229.759869</v>
      </c>
      <c r="U132" s="2">
        <v>44499</v>
      </c>
      <c r="V132" t="s">
        <v>798</v>
      </c>
    </row>
    <row r="133" spans="1:22">
      <c r="A133" s="1" t="s">
        <v>153</v>
      </c>
      <c r="B133">
        <f>HYPERLINK("https://www.suredividend.com/sure-analysis-CTAS/","Cintas Corporation")</f>
        <v>0</v>
      </c>
      <c r="C133">
        <v>438.92</v>
      </c>
      <c r="D133">
        <v>271</v>
      </c>
      <c r="E133">
        <v>1.619630996309963</v>
      </c>
      <c r="F133">
        <v>0.008657614143807528</v>
      </c>
      <c r="G133">
        <v>-0.09193531928347165</v>
      </c>
      <c r="H133">
        <v>0.06</v>
      </c>
      <c r="I133">
        <v>-0.02427092361369165</v>
      </c>
      <c r="J133" t="s">
        <v>775</v>
      </c>
      <c r="K133" t="s">
        <v>370</v>
      </c>
      <c r="L133">
        <v>10.85</v>
      </c>
      <c r="M133">
        <v>3.8</v>
      </c>
      <c r="N133">
        <v>0.3502304147465438</v>
      </c>
      <c r="O133">
        <v>39</v>
      </c>
      <c r="P133">
        <v>0.1000022287717175</v>
      </c>
      <c r="Q133">
        <v>0.243088598582631</v>
      </c>
      <c r="R133" t="s">
        <v>779</v>
      </c>
      <c r="S133" t="s">
        <v>786</v>
      </c>
      <c r="T133">
        <v>45353.54981</v>
      </c>
      <c r="U133" s="2">
        <v>44491</v>
      </c>
      <c r="V133" t="s">
        <v>798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235.46</v>
      </c>
      <c r="D134">
        <v>106</v>
      </c>
      <c r="E134">
        <v>2.221320754716981</v>
      </c>
      <c r="F134">
        <v>0.008154251252866729</v>
      </c>
      <c r="G134">
        <v>-0.1475326679269338</v>
      </c>
      <c r="H134">
        <v>0.13</v>
      </c>
      <c r="I134">
        <v>-0.02454624627498103</v>
      </c>
      <c r="J134" t="s">
        <v>775</v>
      </c>
      <c r="K134" t="s">
        <v>370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0.140659750203888</v>
      </c>
      <c r="R134" t="s">
        <v>779</v>
      </c>
      <c r="S134" t="s">
        <v>787</v>
      </c>
      <c r="T134">
        <v>67535.317241</v>
      </c>
      <c r="U134" s="2">
        <v>44496</v>
      </c>
      <c r="V134" t="s">
        <v>802</v>
      </c>
    </row>
    <row r="135" spans="1:22">
      <c r="A135" s="1" t="s">
        <v>155</v>
      </c>
      <c r="B135">
        <f>HYPERLINK("https://www.suredividend.com/sure-analysis-AMAT/","Applied Materials Inc.")</f>
        <v>0</v>
      </c>
      <c r="C135">
        <v>156.27</v>
      </c>
      <c r="D135">
        <v>103</v>
      </c>
      <c r="E135">
        <v>1.517184466019418</v>
      </c>
      <c r="F135">
        <v>0.006143213668650412</v>
      </c>
      <c r="G135">
        <v>-0.07999047749077737</v>
      </c>
      <c r="H135">
        <v>0.05</v>
      </c>
      <c r="I135">
        <v>-0.02468075970899242</v>
      </c>
      <c r="J135" t="s">
        <v>775</v>
      </c>
      <c r="K135" t="s">
        <v>512</v>
      </c>
      <c r="L135">
        <v>6.85</v>
      </c>
      <c r="M135">
        <v>0.96</v>
      </c>
      <c r="N135">
        <v>0.1401459854014599</v>
      </c>
      <c r="O135">
        <v>4</v>
      </c>
      <c r="P135">
        <v>0.1005558662160053</v>
      </c>
      <c r="Q135">
        <v>1.172064278254703</v>
      </c>
      <c r="R135" t="s">
        <v>779</v>
      </c>
      <c r="S135" t="s">
        <v>785</v>
      </c>
      <c r="T135">
        <v>141597.24737</v>
      </c>
      <c r="U135" s="2">
        <v>44430</v>
      </c>
      <c r="V135" t="s">
        <v>798</v>
      </c>
    </row>
    <row r="136" spans="1:22">
      <c r="A136" s="1" t="s">
        <v>156</v>
      </c>
      <c r="B136">
        <f>HYPERLINK("https://www.suredividend.com/sure-analysis-ATR/","Aptargroup Inc.")</f>
        <v>0</v>
      </c>
      <c r="C136">
        <v>132.32</v>
      </c>
      <c r="D136">
        <v>77</v>
      </c>
      <c r="E136">
        <v>1.718441558441558</v>
      </c>
      <c r="F136">
        <v>0.01133615477629988</v>
      </c>
      <c r="G136">
        <v>-0.1026269004577302</v>
      </c>
      <c r="H136">
        <v>0.07000000000000001</v>
      </c>
      <c r="I136">
        <v>-0.02483227733795457</v>
      </c>
      <c r="J136" t="s">
        <v>775</v>
      </c>
      <c r="K136" t="s">
        <v>370</v>
      </c>
      <c r="L136">
        <v>3.87</v>
      </c>
      <c r="M136">
        <v>1.5</v>
      </c>
      <c r="N136">
        <v>0.3875968992248062</v>
      </c>
      <c r="O136">
        <v>28</v>
      </c>
      <c r="P136">
        <v>0.04951444805329408</v>
      </c>
      <c r="Q136">
        <v>0.06297150211317</v>
      </c>
      <c r="R136" t="s">
        <v>779</v>
      </c>
      <c r="S136" t="s">
        <v>790</v>
      </c>
      <c r="T136">
        <v>8655.606168</v>
      </c>
      <c r="U136" s="2">
        <v>44507</v>
      </c>
      <c r="V136" t="s">
        <v>796</v>
      </c>
    </row>
    <row r="137" spans="1:22">
      <c r="A137" s="1" t="s">
        <v>157</v>
      </c>
      <c r="B137">
        <f>HYPERLINK("https://www.suredividend.com/sure-analysis-BF.B/","Brown-Forman Corp.")</f>
        <v>0</v>
      </c>
      <c r="C137">
        <v>72.15000000000001</v>
      </c>
      <c r="D137">
        <v>42</v>
      </c>
      <c r="E137">
        <v>1.717857142857143</v>
      </c>
      <c r="F137">
        <v>0.009979209979209978</v>
      </c>
      <c r="G137">
        <v>-0.1025658514379738</v>
      </c>
      <c r="H137">
        <v>0.07000000000000001</v>
      </c>
      <c r="I137">
        <v>-0.02614210004506545</v>
      </c>
      <c r="J137" t="s">
        <v>775</v>
      </c>
      <c r="K137" t="s">
        <v>370</v>
      </c>
      <c r="L137">
        <v>1.75</v>
      </c>
      <c r="M137">
        <v>0.72</v>
      </c>
      <c r="N137">
        <v>0.4114285714285714</v>
      </c>
      <c r="O137">
        <v>31</v>
      </c>
      <c r="P137">
        <v>0.05922384104881218</v>
      </c>
      <c r="Q137">
        <v>-0.087811178182574</v>
      </c>
      <c r="R137" t="s">
        <v>779</v>
      </c>
      <c r="S137" t="s">
        <v>788</v>
      </c>
      <c r="T137">
        <v>33539.850751</v>
      </c>
      <c r="U137" s="2">
        <v>44453</v>
      </c>
      <c r="V137" t="s">
        <v>797</v>
      </c>
    </row>
    <row r="138" spans="1:22">
      <c r="A138" s="1" t="s">
        <v>158</v>
      </c>
      <c r="B138">
        <f>HYPERLINK("https://www.suredividend.com/sure-analysis-SHW/","Sherwin-Williams Co.")</f>
        <v>0</v>
      </c>
      <c r="C138">
        <v>332.85</v>
      </c>
      <c r="D138">
        <v>186</v>
      </c>
      <c r="E138">
        <v>1.789516129032258</v>
      </c>
      <c r="F138">
        <v>0.006609583896650143</v>
      </c>
      <c r="G138">
        <v>-0.1098711512575029</v>
      </c>
      <c r="H138">
        <v>0.08</v>
      </c>
      <c r="I138">
        <v>-0.02788736539170444</v>
      </c>
      <c r="J138" t="s">
        <v>775</v>
      </c>
      <c r="K138" t="s">
        <v>370</v>
      </c>
      <c r="L138">
        <v>8.449999999999999</v>
      </c>
      <c r="M138">
        <v>2.2</v>
      </c>
      <c r="N138">
        <v>0.2603550295857989</v>
      </c>
      <c r="O138">
        <v>43</v>
      </c>
      <c r="P138">
        <v>0.1201645102296289</v>
      </c>
      <c r="Q138">
        <v>0.377461422559359</v>
      </c>
      <c r="R138" t="s">
        <v>779</v>
      </c>
      <c r="S138" t="s">
        <v>787</v>
      </c>
      <c r="T138">
        <v>86891.81935400001</v>
      </c>
      <c r="U138" s="2">
        <v>44495</v>
      </c>
      <c r="V138" t="s">
        <v>800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154.89</v>
      </c>
      <c r="D139">
        <v>92</v>
      </c>
      <c r="E139">
        <v>1.683586956521739</v>
      </c>
      <c r="F139">
        <v>0.01136290270514559</v>
      </c>
      <c r="G139">
        <v>-0.09894170407039027</v>
      </c>
      <c r="H139">
        <v>0.06</v>
      </c>
      <c r="I139">
        <v>-0.02859095579243642</v>
      </c>
      <c r="J139" t="s">
        <v>775</v>
      </c>
      <c r="K139" t="s">
        <v>370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0.08817497511316701</v>
      </c>
      <c r="R139" t="s">
        <v>779</v>
      </c>
      <c r="S139" t="s">
        <v>786</v>
      </c>
      <c r="T139">
        <v>5983.050919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265.52</v>
      </c>
      <c r="D140">
        <v>165</v>
      </c>
      <c r="E140">
        <v>1.609212121212121</v>
      </c>
      <c r="F140">
        <v>0.007683037059355228</v>
      </c>
      <c r="G140">
        <v>-0.0907624962707797</v>
      </c>
      <c r="H140">
        <v>0.05</v>
      </c>
      <c r="I140">
        <v>-0.03385270619728764</v>
      </c>
      <c r="J140" t="s">
        <v>775</v>
      </c>
      <c r="K140" t="s">
        <v>370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0.335496493104553</v>
      </c>
      <c r="R140" t="s">
        <v>779</v>
      </c>
      <c r="S140" t="s">
        <v>786</v>
      </c>
      <c r="T140">
        <v>15542.7372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74.20999999999999</v>
      </c>
      <c r="D141">
        <v>47.5</v>
      </c>
      <c r="E141">
        <v>1.562315789473684</v>
      </c>
      <c r="F141">
        <v>0.009702196469478508</v>
      </c>
      <c r="G141">
        <v>-0.08536832907623548</v>
      </c>
      <c r="H141">
        <v>0.037</v>
      </c>
      <c r="I141">
        <v>-0.03703824532037892</v>
      </c>
      <c r="J141" t="s">
        <v>775</v>
      </c>
      <c r="K141" t="s">
        <v>512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0.536373236216085</v>
      </c>
      <c r="R141" t="s">
        <v>779</v>
      </c>
      <c r="S141" t="s">
        <v>790</v>
      </c>
      <c r="T141">
        <v>48045.624548</v>
      </c>
      <c r="U141" s="2">
        <v>44504</v>
      </c>
      <c r="V141" t="s">
        <v>804</v>
      </c>
    </row>
    <row r="142" spans="1:22">
      <c r="A142" s="1" t="s">
        <v>162</v>
      </c>
      <c r="B142">
        <f>HYPERLINK("https://www.suredividend.com/sure-analysis-ZTS/","Zoetis Inc")</f>
        <v>0</v>
      </c>
      <c r="C142">
        <v>216.06</v>
      </c>
      <c r="D142">
        <v>92</v>
      </c>
      <c r="E142">
        <v>2.348478260869565</v>
      </c>
      <c r="F142">
        <v>0.004628343978524484</v>
      </c>
      <c r="G142">
        <v>-0.1569706571779477</v>
      </c>
      <c r="H142">
        <v>0.12</v>
      </c>
      <c r="I142">
        <v>-0.04694818479455554</v>
      </c>
      <c r="J142" t="s">
        <v>775</v>
      </c>
      <c r="K142" t="s">
        <v>512</v>
      </c>
      <c r="L142">
        <v>4.4</v>
      </c>
      <c r="M142">
        <v>1</v>
      </c>
      <c r="N142">
        <v>0.2272727272727273</v>
      </c>
      <c r="O142">
        <v>8</v>
      </c>
      <c r="P142">
        <v>0.1498447628234807</v>
      </c>
      <c r="Q142">
        <v>0.313230838548003</v>
      </c>
      <c r="R142" t="s">
        <v>779</v>
      </c>
      <c r="S142" t="s">
        <v>784</v>
      </c>
      <c r="T142">
        <v>102597.334501</v>
      </c>
      <c r="U142" s="2">
        <v>44509</v>
      </c>
      <c r="V142" t="s">
        <v>805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93.17</v>
      </c>
      <c r="D143">
        <v>60.8</v>
      </c>
      <c r="E143">
        <v>1.532401315789474</v>
      </c>
      <c r="F143">
        <v>0.01567028013309005</v>
      </c>
      <c r="G143">
        <v>-0.08182493001370605</v>
      </c>
      <c r="H143">
        <v>0.015</v>
      </c>
      <c r="I143">
        <v>-0.04706495251994203</v>
      </c>
      <c r="J143" t="s">
        <v>775</v>
      </c>
      <c r="K143" t="s">
        <v>776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0.219327526384746</v>
      </c>
      <c r="R143" t="s">
        <v>779</v>
      </c>
      <c r="S143" t="s">
        <v>791</v>
      </c>
      <c r="T143">
        <v>3419.881995</v>
      </c>
      <c r="U143" s="2">
        <v>44506</v>
      </c>
      <c r="V143" t="s">
        <v>804</v>
      </c>
    </row>
    <row r="144" spans="1:22">
      <c r="A144" s="1" t="s">
        <v>164</v>
      </c>
      <c r="B144">
        <f>HYPERLINK("https://www.suredividend.com/sure-analysis-WST/","West Pharmaceutical Services, Inc.")</f>
        <v>0</v>
      </c>
      <c r="C144">
        <v>422.46</v>
      </c>
      <c r="D144">
        <v>211</v>
      </c>
      <c r="E144">
        <v>2.00218009478673</v>
      </c>
      <c r="F144">
        <v>0.001704303365999148</v>
      </c>
      <c r="G144">
        <v>-0.1296391009505469</v>
      </c>
      <c r="H144">
        <v>0.09</v>
      </c>
      <c r="I144">
        <v>-0.04881111444079467</v>
      </c>
      <c r="J144" t="s">
        <v>775</v>
      </c>
      <c r="K144" t="s">
        <v>370</v>
      </c>
      <c r="L144">
        <v>8.449999999999999</v>
      </c>
      <c r="M144">
        <v>0.72</v>
      </c>
      <c r="N144">
        <v>0.08520710059171598</v>
      </c>
      <c r="O144">
        <v>28</v>
      </c>
      <c r="P144">
        <v>0.05922384104881218</v>
      </c>
      <c r="Q144">
        <v>0.442795487241614</v>
      </c>
      <c r="R144" t="s">
        <v>779</v>
      </c>
      <c r="S144" t="s">
        <v>784</v>
      </c>
      <c r="T144">
        <v>31054.957325</v>
      </c>
      <c r="U144" s="2">
        <v>44502</v>
      </c>
      <c r="V144" t="s">
        <v>797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314.83</v>
      </c>
      <c r="D145">
        <v>168</v>
      </c>
      <c r="E145">
        <v>1.873988095238095</v>
      </c>
      <c r="F145">
        <v>0.00400215989581679</v>
      </c>
      <c r="G145">
        <v>-0.1180445780331475</v>
      </c>
      <c r="H145">
        <v>0.07000000000000001</v>
      </c>
      <c r="I145">
        <v>-0.05000091431586895</v>
      </c>
      <c r="J145" t="s">
        <v>775</v>
      </c>
      <c r="K145" t="s">
        <v>512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0.5409084115625571</v>
      </c>
      <c r="R145" t="s">
        <v>779</v>
      </c>
      <c r="S145" t="s">
        <v>789</v>
      </c>
      <c r="T145">
        <v>13640.585444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110.51</v>
      </c>
      <c r="D146">
        <v>67</v>
      </c>
      <c r="E146">
        <v>1.649402985074627</v>
      </c>
      <c r="F146">
        <v>0.009048954845715319</v>
      </c>
      <c r="G146">
        <v>-0.09523738996231024</v>
      </c>
      <c r="H146">
        <v>0.03</v>
      </c>
      <c r="I146">
        <v>-0.05454673153830425</v>
      </c>
      <c r="J146" t="s">
        <v>775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0.123670145843608</v>
      </c>
      <c r="R146" t="s">
        <v>779</v>
      </c>
      <c r="S146" t="s">
        <v>789</v>
      </c>
      <c r="T146">
        <v>5051.096538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109.96</v>
      </c>
      <c r="D147">
        <v>60</v>
      </c>
      <c r="E147">
        <v>1.832666666666667</v>
      </c>
      <c r="F147">
        <v>0.01473263004728993</v>
      </c>
      <c r="G147">
        <v>-0.114102851398189</v>
      </c>
      <c r="H147">
        <v>0.037</v>
      </c>
      <c r="I147">
        <v>-0.06026878742850594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1.219159827354743</v>
      </c>
      <c r="R147" t="s">
        <v>779</v>
      </c>
      <c r="S147" t="s">
        <v>787</v>
      </c>
      <c r="T147">
        <v>32078.065618</v>
      </c>
      <c r="U147" s="2">
        <v>44491</v>
      </c>
      <c r="V147" t="s">
        <v>804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59.22</v>
      </c>
      <c r="D148">
        <v>26</v>
      </c>
      <c r="E148">
        <v>2.277692307692308</v>
      </c>
      <c r="F148">
        <v>0.00878081729145559</v>
      </c>
      <c r="G148">
        <v>-0.1517946860008081</v>
      </c>
      <c r="H148">
        <v>0.07000000000000001</v>
      </c>
      <c r="I148">
        <v>-0.07740224029252485</v>
      </c>
      <c r="J148" t="s">
        <v>775</v>
      </c>
      <c r="K148" t="s">
        <v>512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0.647784663263356</v>
      </c>
      <c r="R148" t="s">
        <v>779</v>
      </c>
      <c r="S148" t="s">
        <v>789</v>
      </c>
      <c r="T148">
        <v>99010.76540400001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108.63</v>
      </c>
      <c r="D149">
        <v>51</v>
      </c>
      <c r="E149">
        <v>2.13</v>
      </c>
      <c r="F149">
        <v>0.007364448126668508</v>
      </c>
      <c r="G149">
        <v>-0.1403452260304923</v>
      </c>
      <c r="H149">
        <v>0.05</v>
      </c>
      <c r="I149">
        <v>-0.08319792920875924</v>
      </c>
      <c r="J149" t="s">
        <v>775</v>
      </c>
      <c r="K149" t="s">
        <v>512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0.438138740100555</v>
      </c>
      <c r="R149" t="s">
        <v>779</v>
      </c>
      <c r="S149" t="s">
        <v>786</v>
      </c>
      <c r="T149">
        <v>3200.22587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105.46</v>
      </c>
      <c r="D150">
        <v>48.6</v>
      </c>
      <c r="E150">
        <v>2.169958847736625</v>
      </c>
      <c r="F150">
        <v>0.01099943106391049</v>
      </c>
      <c r="G150">
        <v>-0.1435348412156036</v>
      </c>
      <c r="H150">
        <v>0.045</v>
      </c>
      <c r="I150">
        <v>-0.08814508403756216</v>
      </c>
      <c r="J150" t="s">
        <v>775</v>
      </c>
      <c r="K150" t="s">
        <v>370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0.5046312784379861</v>
      </c>
      <c r="R150" t="s">
        <v>779</v>
      </c>
      <c r="S150" t="s">
        <v>791</v>
      </c>
      <c r="T150">
        <v>1848.034724</v>
      </c>
      <c r="U150" s="2">
        <v>44506</v>
      </c>
      <c r="V150" t="s">
        <v>804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271.29</v>
      </c>
      <c r="D151">
        <v>97</v>
      </c>
      <c r="E151">
        <v>2.796804123711341</v>
      </c>
      <c r="F151">
        <v>0.005750304102620812</v>
      </c>
      <c r="G151">
        <v>-0.185919054423497</v>
      </c>
      <c r="H151">
        <v>0.1</v>
      </c>
      <c r="I151">
        <v>-0.09313759788370624</v>
      </c>
      <c r="J151" t="s">
        <v>775</v>
      </c>
      <c r="K151" t="s">
        <v>512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1.277497027470866</v>
      </c>
      <c r="R151" t="s">
        <v>779</v>
      </c>
      <c r="S151" t="s">
        <v>787</v>
      </c>
      <c r="T151">
        <v>32332.254295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215.53</v>
      </c>
      <c r="D152">
        <v>265</v>
      </c>
      <c r="E152">
        <v>0.8133207547169812</v>
      </c>
      <c r="F152">
        <v>0.01855890131304227</v>
      </c>
      <c r="G152">
        <v>0.04219174529376346</v>
      </c>
      <c r="H152">
        <v>0.15</v>
      </c>
      <c r="I152">
        <v>0.2073828338461252</v>
      </c>
      <c r="J152" t="s">
        <v>776</v>
      </c>
      <c r="K152" t="s">
        <v>370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-0.0007512837681860001</v>
      </c>
      <c r="R152" t="s">
        <v>779</v>
      </c>
      <c r="S152" t="s">
        <v>789</v>
      </c>
      <c r="T152">
        <v>72161.769451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24.8</v>
      </c>
      <c r="D153">
        <v>36</v>
      </c>
      <c r="E153">
        <v>0.6888888888888889</v>
      </c>
      <c r="F153">
        <v>0.08387096774193549</v>
      </c>
      <c r="G153">
        <v>0.07738311274144394</v>
      </c>
      <c r="H153">
        <v>0.03</v>
      </c>
      <c r="I153">
        <v>0.1628280267750617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-0.08971457770640101</v>
      </c>
      <c r="R153" t="s">
        <v>779</v>
      </c>
      <c r="S153" t="s">
        <v>783</v>
      </c>
      <c r="T153">
        <v>178071.6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14.77</v>
      </c>
      <c r="D154">
        <v>19.2</v>
      </c>
      <c r="E154">
        <v>0.7692708333333333</v>
      </c>
      <c r="F154">
        <v>0.04468517264725796</v>
      </c>
      <c r="G154">
        <v>0.05386297455116096</v>
      </c>
      <c r="H154">
        <v>0.07000000000000001</v>
      </c>
      <c r="I154">
        <v>0.1598502722015105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-0.324566112005725</v>
      </c>
      <c r="R154" t="s">
        <v>779</v>
      </c>
      <c r="S154" t="s">
        <v>789</v>
      </c>
      <c r="T154">
        <v>56229.205686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325.38</v>
      </c>
      <c r="D155">
        <v>413</v>
      </c>
      <c r="E155">
        <v>0.7878450363196126</v>
      </c>
      <c r="F155">
        <v>0.004302661503472863</v>
      </c>
      <c r="G155">
        <v>0.04884627314190815</v>
      </c>
      <c r="H155">
        <v>0.08</v>
      </c>
      <c r="I155">
        <v>0.1362378219439151</v>
      </c>
      <c r="J155" t="s">
        <v>776</v>
      </c>
      <c r="K155" t="s">
        <v>512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0.217934981090731</v>
      </c>
      <c r="R155" t="s">
        <v>779</v>
      </c>
      <c r="S155" t="s">
        <v>790</v>
      </c>
      <c r="T155">
        <v>9774.847882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207.4</v>
      </c>
      <c r="D156">
        <v>225</v>
      </c>
      <c r="E156">
        <v>0.9217777777777778</v>
      </c>
      <c r="F156">
        <v>0.0339440694310511</v>
      </c>
      <c r="G156">
        <v>0.0164236303732288</v>
      </c>
      <c r="H156">
        <v>0.09</v>
      </c>
      <c r="I156">
        <v>0.1358467170937288</v>
      </c>
      <c r="J156" t="s">
        <v>776</v>
      </c>
      <c r="K156" t="s">
        <v>776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-0.08950421565237901</v>
      </c>
      <c r="R156" t="s">
        <v>779</v>
      </c>
      <c r="S156" t="s">
        <v>784</v>
      </c>
      <c r="T156">
        <v>118077.431036</v>
      </c>
      <c r="U156" s="2">
        <v>44503</v>
      </c>
      <c r="V156" t="s">
        <v>795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52.4</v>
      </c>
      <c r="D157">
        <v>70</v>
      </c>
      <c r="E157">
        <v>0.7485714285714286</v>
      </c>
      <c r="F157">
        <v>0.04885496183206107</v>
      </c>
      <c r="G157">
        <v>0.05962781669684181</v>
      </c>
      <c r="H157">
        <v>0.04</v>
      </c>
      <c r="I157">
        <v>0.1351525971628782</v>
      </c>
      <c r="J157" t="s">
        <v>776</v>
      </c>
      <c r="K157" t="s">
        <v>775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-0.09482542444109601</v>
      </c>
      <c r="R157" t="s">
        <v>779</v>
      </c>
      <c r="S157" t="s">
        <v>783</v>
      </c>
      <c r="T157">
        <v>216696.178317</v>
      </c>
      <c r="U157" s="2">
        <v>44489</v>
      </c>
      <c r="V157" t="s">
        <v>795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53.38</v>
      </c>
      <c r="D158">
        <v>61</v>
      </c>
      <c r="E158">
        <v>0.8750819672131148</v>
      </c>
      <c r="F158">
        <v>0.0187336080929187</v>
      </c>
      <c r="G158">
        <v>0.02704684571485627</v>
      </c>
      <c r="H158">
        <v>0.09</v>
      </c>
      <c r="I158">
        <v>0.1346355943341491</v>
      </c>
      <c r="J158" t="s">
        <v>776</v>
      </c>
      <c r="K158" t="s">
        <v>370</v>
      </c>
      <c r="L158">
        <v>3.07</v>
      </c>
      <c r="M158">
        <v>1</v>
      </c>
      <c r="N158">
        <v>0.3257328990228013</v>
      </c>
      <c r="O158">
        <v>13</v>
      </c>
      <c r="P158">
        <v>0.09019489529987834</v>
      </c>
      <c r="Q158">
        <v>0.106730160568962</v>
      </c>
      <c r="R158" t="s">
        <v>779</v>
      </c>
      <c r="S158" t="s">
        <v>783</v>
      </c>
      <c r="T158">
        <v>243932.108845</v>
      </c>
      <c r="U158" s="2">
        <v>44506</v>
      </c>
      <c r="V158" t="s">
        <v>803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47.06</v>
      </c>
      <c r="D159">
        <v>60</v>
      </c>
      <c r="E159">
        <v>0.7843333333333333</v>
      </c>
      <c r="F159">
        <v>0.03994900127496812</v>
      </c>
      <c r="G159">
        <v>0.04978379745778638</v>
      </c>
      <c r="H159">
        <v>0.05</v>
      </c>
      <c r="I159">
        <v>0.1312212893432958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0.346824096439812</v>
      </c>
      <c r="R159" t="s">
        <v>780</v>
      </c>
      <c r="S159" t="s">
        <v>789</v>
      </c>
      <c r="T159">
        <v>5394.729793</v>
      </c>
      <c r="U159" s="2">
        <v>44508</v>
      </c>
      <c r="V159" t="s">
        <v>799</v>
      </c>
    </row>
    <row r="160" spans="1:22">
      <c r="A160" s="1" t="s">
        <v>180</v>
      </c>
      <c r="B160">
        <f>HYPERLINK("https://www.suredividend.com/sure-analysis-WU/","Western Union Company")</f>
        <v>0</v>
      </c>
      <c r="C160">
        <v>17.83</v>
      </c>
      <c r="D160">
        <v>25</v>
      </c>
      <c r="E160">
        <v>0.7131999999999999</v>
      </c>
      <c r="F160">
        <v>0.05272013460459899</v>
      </c>
      <c r="G160">
        <v>0.06993583415758065</v>
      </c>
      <c r="H160">
        <v>0.02</v>
      </c>
      <c r="I160">
        <v>0.1302474101849371</v>
      </c>
      <c r="J160" t="s">
        <v>776</v>
      </c>
      <c r="K160" t="s">
        <v>775</v>
      </c>
      <c r="L160">
        <v>2.05</v>
      </c>
      <c r="M160">
        <v>0.9399999999999999</v>
      </c>
      <c r="N160">
        <v>0.4585365853658537</v>
      </c>
      <c r="O160">
        <v>7</v>
      </c>
      <c r="P160">
        <v>0.03933463380769542</v>
      </c>
      <c r="Q160">
        <v>-0.104784771051277</v>
      </c>
      <c r="R160" t="s">
        <v>779</v>
      </c>
      <c r="S160" t="s">
        <v>789</v>
      </c>
      <c r="T160">
        <v>7344.661459</v>
      </c>
      <c r="U160" s="2">
        <v>44425</v>
      </c>
      <c r="V160" t="s">
        <v>799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36.13</v>
      </c>
      <c r="D161">
        <v>41</v>
      </c>
      <c r="E161">
        <v>0.8812195121951221</v>
      </c>
      <c r="F161">
        <v>0.02989205646277332</v>
      </c>
      <c r="G161">
        <v>0.02561220176365797</v>
      </c>
      <c r="H161">
        <v>0.07000000000000001</v>
      </c>
      <c r="I161">
        <v>0.1213367564258752</v>
      </c>
      <c r="J161" t="s">
        <v>776</v>
      </c>
      <c r="K161" t="s">
        <v>776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0.7822024962605131</v>
      </c>
      <c r="R161" t="s">
        <v>779</v>
      </c>
      <c r="S161" t="s">
        <v>783</v>
      </c>
      <c r="T161">
        <v>14309.066148</v>
      </c>
      <c r="U161" s="2">
        <v>44494</v>
      </c>
      <c r="V161" t="s">
        <v>794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69.03</v>
      </c>
      <c r="D162">
        <v>87</v>
      </c>
      <c r="E162">
        <v>0.793448275862069</v>
      </c>
      <c r="F162">
        <v>0.04056207446037954</v>
      </c>
      <c r="G162">
        <v>0.04736070472391352</v>
      </c>
      <c r="H162">
        <v>0.04</v>
      </c>
      <c r="I162">
        <v>0.1212535560768835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0.22620045077498</v>
      </c>
      <c r="R162" t="s">
        <v>779</v>
      </c>
      <c r="S162" t="s">
        <v>783</v>
      </c>
      <c r="T162">
        <v>14651.658921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141.38</v>
      </c>
      <c r="D163">
        <v>160</v>
      </c>
      <c r="E163">
        <v>0.883625</v>
      </c>
      <c r="F163">
        <v>0.0159852878766445</v>
      </c>
      <c r="G163">
        <v>0.02505318894551145</v>
      </c>
      <c r="H163">
        <v>0.08</v>
      </c>
      <c r="I163">
        <v>0.1204194622208896</v>
      </c>
      <c r="J163" t="s">
        <v>776</v>
      </c>
      <c r="K163" t="s">
        <v>370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0.203128590545965</v>
      </c>
      <c r="R163" t="s">
        <v>779</v>
      </c>
      <c r="S163" t="s">
        <v>785</v>
      </c>
      <c r="T163">
        <v>174950.95387</v>
      </c>
      <c r="U163" s="2">
        <v>44507</v>
      </c>
      <c r="V163" t="s">
        <v>797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50.32</v>
      </c>
      <c r="D164">
        <v>63</v>
      </c>
      <c r="E164">
        <v>0.7987301587301587</v>
      </c>
      <c r="F164">
        <v>0.02762321144674086</v>
      </c>
      <c r="G164">
        <v>0.04597181816601781</v>
      </c>
      <c r="H164">
        <v>0.05</v>
      </c>
      <c r="I164">
        <v>0.1194387050227128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0.135340432878159</v>
      </c>
      <c r="R164" t="s">
        <v>779</v>
      </c>
      <c r="S164" t="s">
        <v>785</v>
      </c>
      <c r="T164">
        <v>204610.77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HYPERLINK("https://www.suredividend.com/sure-analysis-SRE/","Sempra Energy")</f>
        <v>0</v>
      </c>
      <c r="C165">
        <v>124.56</v>
      </c>
      <c r="D165">
        <v>151</v>
      </c>
      <c r="E165">
        <v>0.8249006622516556</v>
      </c>
      <c r="F165">
        <v>0.03532434168272319</v>
      </c>
      <c r="G165">
        <v>0.03924912984384954</v>
      </c>
      <c r="H165">
        <v>0.05</v>
      </c>
      <c r="I165">
        <v>0.1187132890192479</v>
      </c>
      <c r="J165" t="s">
        <v>776</v>
      </c>
      <c r="K165" t="s">
        <v>776</v>
      </c>
      <c r="L165">
        <v>8.050000000000001</v>
      </c>
      <c r="M165">
        <v>4.4</v>
      </c>
      <c r="N165">
        <v>0.5465838509316771</v>
      </c>
      <c r="O165">
        <v>11</v>
      </c>
      <c r="P165">
        <v>0.05016303610438722</v>
      </c>
      <c r="Q165">
        <v>-0.06946685251926001</v>
      </c>
      <c r="R165" t="s">
        <v>779</v>
      </c>
      <c r="S165" t="s">
        <v>791</v>
      </c>
      <c r="T165">
        <v>38989.989215</v>
      </c>
      <c r="U165" s="2">
        <v>44434</v>
      </c>
      <c r="V165" t="s">
        <v>802</v>
      </c>
    </row>
    <row r="166" spans="1:22">
      <c r="A166" s="1" t="s">
        <v>186</v>
      </c>
      <c r="B166">
        <f>HYPERLINK("https://www.suredividend.com/sure-analysis-NC/","Nacco Industries Inc.")</f>
        <v>0</v>
      </c>
      <c r="C166">
        <v>33.43</v>
      </c>
      <c r="D166">
        <v>59</v>
      </c>
      <c r="E166">
        <v>0.5666101694915254</v>
      </c>
      <c r="F166">
        <v>0.02363146874065211</v>
      </c>
      <c r="G166">
        <v>0.120322677467819</v>
      </c>
      <c r="H166">
        <v>-0.02</v>
      </c>
      <c r="I166">
        <v>0.1161897524601891</v>
      </c>
      <c r="J166" t="s">
        <v>776</v>
      </c>
      <c r="K166" t="s">
        <v>776</v>
      </c>
      <c r="L166">
        <v>6.5</v>
      </c>
      <c r="M166">
        <v>0.79</v>
      </c>
      <c r="N166">
        <v>0.1215384615384615</v>
      </c>
      <c r="O166">
        <v>36</v>
      </c>
      <c r="P166">
        <v>0.05036164940748145</v>
      </c>
      <c r="Q166">
        <v>0.6210885135393921</v>
      </c>
      <c r="R166" t="s">
        <v>779</v>
      </c>
      <c r="S166" t="s">
        <v>792</v>
      </c>
      <c r="T166">
        <v>189.858065</v>
      </c>
      <c r="U166" s="2">
        <v>44506</v>
      </c>
      <c r="V166" t="s">
        <v>795</v>
      </c>
    </row>
    <row r="167" spans="1:22">
      <c r="A167" s="1" t="s">
        <v>187</v>
      </c>
      <c r="B167">
        <f>HYPERLINK("https://www.suredividend.com/sure-analysis-OGN/","Organon &amp; Co.")</f>
        <v>0</v>
      </c>
      <c r="C167">
        <v>33.38</v>
      </c>
      <c r="D167">
        <v>44</v>
      </c>
      <c r="E167">
        <v>0.7586363636363637</v>
      </c>
      <c r="F167">
        <v>0.0335530257639305</v>
      </c>
      <c r="G167">
        <v>0.05680112962568074</v>
      </c>
      <c r="H167">
        <v>0.03</v>
      </c>
      <c r="I167">
        <v>0.1134910388574248</v>
      </c>
      <c r="J167" t="s">
        <v>776</v>
      </c>
      <c r="K167" t="s">
        <v>775</v>
      </c>
      <c r="L167">
        <v>6.3</v>
      </c>
      <c r="M167">
        <v>1.12</v>
      </c>
      <c r="N167">
        <v>0.1777777777777778</v>
      </c>
      <c r="O167">
        <v>0</v>
      </c>
      <c r="P167">
        <v>0.03025579475561258</v>
      </c>
      <c r="Q167">
        <v>0.013533834586466</v>
      </c>
      <c r="R167" t="s">
        <v>779</v>
      </c>
      <c r="S167" t="s">
        <v>784</v>
      </c>
      <c r="T167">
        <v>8544.468219</v>
      </c>
      <c r="U167" s="2">
        <v>44512</v>
      </c>
      <c r="V167" t="s">
        <v>795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63.61</v>
      </c>
      <c r="D168">
        <v>71</v>
      </c>
      <c r="E168">
        <v>0.8959154929577464</v>
      </c>
      <c r="F168">
        <v>0.04307498820940104</v>
      </c>
      <c r="G168">
        <v>0.02222521790132026</v>
      </c>
      <c r="H168">
        <v>0.055</v>
      </c>
      <c r="I168">
        <v>0.1131166613508821</v>
      </c>
      <c r="J168" t="s">
        <v>776</v>
      </c>
      <c r="K168" t="s">
        <v>775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0.017906087413218</v>
      </c>
      <c r="R168" t="s">
        <v>779</v>
      </c>
      <c r="S168" t="s">
        <v>791</v>
      </c>
      <c r="T168">
        <v>3205.449122</v>
      </c>
      <c r="U168" s="2">
        <v>44432</v>
      </c>
      <c r="V168" t="s">
        <v>796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82.28</v>
      </c>
      <c r="D169">
        <v>100</v>
      </c>
      <c r="E169">
        <v>0.8228</v>
      </c>
      <c r="F169">
        <v>0.03889158969372873</v>
      </c>
      <c r="G169">
        <v>0.03977924296384572</v>
      </c>
      <c r="H169">
        <v>0.04</v>
      </c>
      <c r="I169">
        <v>0.1116520691973699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-0.003479185290777</v>
      </c>
      <c r="R169" t="s">
        <v>779</v>
      </c>
      <c r="S169" t="s">
        <v>784</v>
      </c>
      <c r="T169">
        <v>200815.381691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45.2</v>
      </c>
      <c r="D170">
        <v>50.8</v>
      </c>
      <c r="E170">
        <v>0.8897637795275591</v>
      </c>
      <c r="F170">
        <v>0.07964601769911504</v>
      </c>
      <c r="G170">
        <v>0.02363483190498417</v>
      </c>
      <c r="H170">
        <v>0.022</v>
      </c>
      <c r="I170">
        <v>0.1090009483600316</v>
      </c>
      <c r="J170" t="s">
        <v>776</v>
      </c>
      <c r="K170" t="s">
        <v>775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0.19816700719647</v>
      </c>
      <c r="R170" t="s">
        <v>779</v>
      </c>
      <c r="S170" t="s">
        <v>788</v>
      </c>
      <c r="T170">
        <v>82517.537884</v>
      </c>
      <c r="U170" s="2">
        <v>44506</v>
      </c>
      <c r="V170" t="s">
        <v>804</v>
      </c>
    </row>
    <row r="171" spans="1:22">
      <c r="A171" s="1" t="s">
        <v>191</v>
      </c>
      <c r="B171">
        <f>HYPERLINK("https://www.suredividend.com/sure-analysis-ENB/","Enbridge Inc")</f>
        <v>0</v>
      </c>
      <c r="C171">
        <v>40.43</v>
      </c>
      <c r="D171">
        <v>43</v>
      </c>
      <c r="E171">
        <v>0.9402325581395349</v>
      </c>
      <c r="F171">
        <v>0.06653475142221123</v>
      </c>
      <c r="G171">
        <v>0.01240187974440965</v>
      </c>
      <c r="H171">
        <v>0.04</v>
      </c>
      <c r="I171">
        <v>0.1085667291887951</v>
      </c>
      <c r="J171" t="s">
        <v>776</v>
      </c>
      <c r="K171" t="s">
        <v>775</v>
      </c>
      <c r="L171">
        <v>3.88</v>
      </c>
      <c r="M171">
        <v>2.69</v>
      </c>
      <c r="N171">
        <v>0.6932989690721649</v>
      </c>
      <c r="O171">
        <v>26</v>
      </c>
      <c r="P171">
        <v>0.04486096680385954</v>
      </c>
      <c r="Q171">
        <v>0.522234569528939</v>
      </c>
      <c r="R171" t="s">
        <v>779</v>
      </c>
      <c r="S171" t="s">
        <v>792</v>
      </c>
      <c r="T171">
        <v>81869.144827</v>
      </c>
      <c r="U171" s="2">
        <v>44505</v>
      </c>
      <c r="V171" t="s">
        <v>797</v>
      </c>
    </row>
    <row r="172" spans="1:22">
      <c r="A172" s="1" t="s">
        <v>192</v>
      </c>
      <c r="B172">
        <f>HYPERLINK("https://www.suredividend.com/sure-analysis-YUM/","Yum Brands Inc.")</f>
        <v>0</v>
      </c>
      <c r="C172">
        <v>126.59</v>
      </c>
      <c r="D172">
        <v>113</v>
      </c>
      <c r="E172">
        <v>1.120265486725664</v>
      </c>
      <c r="F172">
        <v>0.01579903625878821</v>
      </c>
      <c r="G172">
        <v>-0.02245713829002915</v>
      </c>
      <c r="H172">
        <v>0.12</v>
      </c>
      <c r="I172">
        <v>0.1076941807505991</v>
      </c>
      <c r="J172" t="s">
        <v>776</v>
      </c>
      <c r="K172" t="s">
        <v>512</v>
      </c>
      <c r="L172">
        <v>4.65</v>
      </c>
      <c r="M172">
        <v>2</v>
      </c>
      <c r="N172">
        <v>0.4301075268817204</v>
      </c>
      <c r="O172">
        <v>4</v>
      </c>
      <c r="P172">
        <v>0.0602809527753625</v>
      </c>
      <c r="Q172">
        <v>0.23832334855608</v>
      </c>
      <c r="R172" t="s">
        <v>779</v>
      </c>
      <c r="S172" t="s">
        <v>790</v>
      </c>
      <c r="T172">
        <v>36706.127158</v>
      </c>
      <c r="U172" s="2">
        <v>44510</v>
      </c>
      <c r="V172" t="s">
        <v>802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21.83</v>
      </c>
      <c r="D173">
        <v>24</v>
      </c>
      <c r="E173">
        <v>0.9095833333333333</v>
      </c>
      <c r="F173">
        <v>0.03664681630783326</v>
      </c>
      <c r="G173">
        <v>0.01913449416816837</v>
      </c>
      <c r="H173">
        <v>0.055</v>
      </c>
      <c r="I173">
        <v>0.1066244592072465</v>
      </c>
      <c r="J173" t="s">
        <v>776</v>
      </c>
      <c r="K173" t="s">
        <v>775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0.3430192009776381</v>
      </c>
      <c r="R173" t="s">
        <v>779</v>
      </c>
      <c r="S173" t="s">
        <v>789</v>
      </c>
      <c r="T173">
        <v>513.916669</v>
      </c>
      <c r="U173" s="2">
        <v>44506</v>
      </c>
      <c r="V173" t="s">
        <v>797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10.21</v>
      </c>
      <c r="D174">
        <v>10.5</v>
      </c>
      <c r="E174">
        <v>0.9723809523809525</v>
      </c>
      <c r="F174">
        <v>0.05876591576885406</v>
      </c>
      <c r="G174">
        <v>0.00561724287284826</v>
      </c>
      <c r="H174">
        <v>0.05</v>
      </c>
      <c r="I174">
        <v>0.105965062626922</v>
      </c>
      <c r="J174" t="s">
        <v>776</v>
      </c>
      <c r="K174" t="s">
        <v>775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0.05997931747673201</v>
      </c>
      <c r="R174" t="s">
        <v>779</v>
      </c>
      <c r="S174" t="s">
        <v>791</v>
      </c>
      <c r="T174">
        <v>11092.14</v>
      </c>
      <c r="U174" s="2">
        <v>44500</v>
      </c>
      <c r="V174" t="s">
        <v>795</v>
      </c>
    </row>
    <row r="175" spans="1:22">
      <c r="A175" s="1" t="s">
        <v>195</v>
      </c>
      <c r="B175">
        <f>HYPERLINK("https://www.suredividend.com/sure-analysis-TDS/","Telephone And Data Systems, Inc.")</f>
        <v>0</v>
      </c>
      <c r="C175">
        <v>19.67</v>
      </c>
      <c r="D175">
        <v>26</v>
      </c>
      <c r="E175">
        <v>0.7565384615384616</v>
      </c>
      <c r="F175">
        <v>0.03558718861209964</v>
      </c>
      <c r="G175">
        <v>0.05738658834584554</v>
      </c>
      <c r="H175">
        <v>0.02</v>
      </c>
      <c r="I175">
        <v>0.1058471159873151</v>
      </c>
      <c r="J175" t="s">
        <v>776</v>
      </c>
      <c r="K175" t="s">
        <v>775</v>
      </c>
      <c r="L175">
        <v>1.1</v>
      </c>
      <c r="M175">
        <v>0.7</v>
      </c>
      <c r="N175">
        <v>0.6363636363636362</v>
      </c>
      <c r="O175">
        <v>45</v>
      </c>
      <c r="P175">
        <v>0.02962100943384161</v>
      </c>
      <c r="Q175">
        <v>0.08117171105293801</v>
      </c>
      <c r="R175" t="s">
        <v>779</v>
      </c>
      <c r="S175" t="s">
        <v>783</v>
      </c>
      <c r="T175">
        <v>2146.570178</v>
      </c>
      <c r="U175" s="2">
        <v>44419</v>
      </c>
      <c r="V175" t="s">
        <v>801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39.98</v>
      </c>
      <c r="D176">
        <v>46</v>
      </c>
      <c r="E176">
        <v>0.8691304347826087</v>
      </c>
      <c r="F176">
        <v>0.08254127063531766</v>
      </c>
      <c r="G176">
        <v>0.02844958763414174</v>
      </c>
      <c r="H176">
        <v>0.015</v>
      </c>
      <c r="I176">
        <v>0.1056372595016877</v>
      </c>
      <c r="J176" t="s">
        <v>776</v>
      </c>
      <c r="K176" t="s">
        <v>775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0.634643075887189</v>
      </c>
      <c r="R176" t="s">
        <v>780</v>
      </c>
      <c r="S176" t="s">
        <v>792</v>
      </c>
      <c r="T176">
        <v>3359.090557</v>
      </c>
      <c r="U176" s="2">
        <v>44507</v>
      </c>
      <c r="V176" t="s">
        <v>797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67.2</v>
      </c>
      <c r="D177">
        <v>80</v>
      </c>
      <c r="E177">
        <v>0.8400000000000001</v>
      </c>
      <c r="F177">
        <v>0.04226190476190476</v>
      </c>
      <c r="G177">
        <v>0.03548578845590522</v>
      </c>
      <c r="H177">
        <v>0.03</v>
      </c>
      <c r="I177">
        <v>0.1019849824867916</v>
      </c>
      <c r="J177" t="s">
        <v>776</v>
      </c>
      <c r="K177" t="s">
        <v>775</v>
      </c>
      <c r="L177">
        <v>8</v>
      </c>
      <c r="M177">
        <v>2.84</v>
      </c>
      <c r="N177">
        <v>0.355</v>
      </c>
      <c r="O177">
        <v>6</v>
      </c>
      <c r="P177">
        <v>0.049731056540673</v>
      </c>
      <c r="Q177">
        <v>0.162720573158523</v>
      </c>
      <c r="R177" t="s">
        <v>779</v>
      </c>
      <c r="S177" t="s">
        <v>784</v>
      </c>
      <c r="T177">
        <v>84645.800065</v>
      </c>
      <c r="U177" s="2">
        <v>44509</v>
      </c>
      <c r="V177" t="s">
        <v>797</v>
      </c>
    </row>
    <row r="178" spans="1:22">
      <c r="A178" s="1" t="s">
        <v>198</v>
      </c>
      <c r="B178">
        <f>HYPERLINK("https://www.suredividend.com/sure-analysis-LMT/","Lockheed Martin Corp.")</f>
        <v>0</v>
      </c>
      <c r="C178">
        <v>340.92</v>
      </c>
      <c r="D178">
        <v>359</v>
      </c>
      <c r="E178">
        <v>0.9496378830083566</v>
      </c>
      <c r="F178">
        <v>0.0328522820603074</v>
      </c>
      <c r="G178">
        <v>0.01038849818988963</v>
      </c>
      <c r="H178">
        <v>0.06</v>
      </c>
      <c r="I178">
        <v>0.09996118902521878</v>
      </c>
      <c r="J178" t="s">
        <v>776</v>
      </c>
      <c r="K178" t="s">
        <v>776</v>
      </c>
      <c r="L178">
        <v>22.45</v>
      </c>
      <c r="M178">
        <v>11.2</v>
      </c>
      <c r="N178">
        <v>0.4988864142538975</v>
      </c>
      <c r="O178">
        <v>20</v>
      </c>
      <c r="P178">
        <v>0.06810541783933033</v>
      </c>
      <c r="Q178">
        <v>-0.070001925495924</v>
      </c>
      <c r="R178" t="s">
        <v>779</v>
      </c>
      <c r="S178" t="s">
        <v>786</v>
      </c>
      <c r="T178">
        <v>93508.15034599999</v>
      </c>
      <c r="U178" s="2">
        <v>44502</v>
      </c>
      <c r="V178" t="s">
        <v>799</v>
      </c>
    </row>
    <row r="179" spans="1:22">
      <c r="A179" s="1" t="s">
        <v>199</v>
      </c>
      <c r="B179">
        <f>HYPERLINK("https://www.suredividend.com/sure-analysis-EPD/","Enterprise Products Partners L P")</f>
        <v>0</v>
      </c>
      <c r="C179">
        <v>22.92</v>
      </c>
      <c r="D179">
        <v>24.1</v>
      </c>
      <c r="E179">
        <v>0.9510373443983403</v>
      </c>
      <c r="F179">
        <v>0.07853403141361257</v>
      </c>
      <c r="G179">
        <v>0.01009096356159112</v>
      </c>
      <c r="H179">
        <v>0.026</v>
      </c>
      <c r="I179">
        <v>0.09959750204728079</v>
      </c>
      <c r="J179" t="s">
        <v>776</v>
      </c>
      <c r="K179" t="s">
        <v>775</v>
      </c>
      <c r="L179">
        <v>3.01</v>
      </c>
      <c r="M179">
        <v>1.8</v>
      </c>
      <c r="N179">
        <v>0.5980066445182725</v>
      </c>
      <c r="O179">
        <v>22</v>
      </c>
      <c r="P179">
        <v>0.01613736474159566</v>
      </c>
      <c r="Q179">
        <v>0.363867744030518</v>
      </c>
      <c r="R179" t="s">
        <v>780</v>
      </c>
      <c r="S179" t="s">
        <v>792</v>
      </c>
      <c r="T179">
        <v>50865.449298</v>
      </c>
      <c r="U179" s="2">
        <v>44506</v>
      </c>
      <c r="V179" t="s">
        <v>804</v>
      </c>
    </row>
    <row r="180" spans="1:22">
      <c r="A180" s="1" t="s">
        <v>200</v>
      </c>
      <c r="B180">
        <f>HYPERLINK("https://www.suredividend.com/sure-analysis-MURGF/","Münchener Rückversicherungs-Gesellschaft AG")</f>
        <v>0</v>
      </c>
      <c r="C180">
        <v>289.75</v>
      </c>
      <c r="D180">
        <v>319</v>
      </c>
      <c r="E180">
        <v>0.908307210031348</v>
      </c>
      <c r="F180">
        <v>0.04486626402070751</v>
      </c>
      <c r="G180">
        <v>0.01942069932001389</v>
      </c>
      <c r="H180">
        <v>0.04</v>
      </c>
      <c r="I180">
        <v>0.09852853560492325</v>
      </c>
      <c r="J180" t="s">
        <v>776</v>
      </c>
      <c r="K180" t="s">
        <v>775</v>
      </c>
      <c r="L180">
        <v>25.5</v>
      </c>
      <c r="M180">
        <v>13</v>
      </c>
      <c r="N180">
        <v>0.5098039215686274</v>
      </c>
      <c r="O180">
        <v>6</v>
      </c>
      <c r="P180">
        <v>0.0499789846479779</v>
      </c>
      <c r="Q180">
        <v>0.04911648034619501</v>
      </c>
      <c r="R180" t="s">
        <v>779</v>
      </c>
      <c r="S180" t="s">
        <v>789</v>
      </c>
      <c r="T180">
        <v>40757.581007</v>
      </c>
      <c r="U180" s="2">
        <v>44422</v>
      </c>
      <c r="V180" t="s">
        <v>794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71.28</v>
      </c>
      <c r="D181">
        <v>76</v>
      </c>
      <c r="E181">
        <v>0.9378947368421052</v>
      </c>
      <c r="F181">
        <v>0.03338945005611672</v>
      </c>
      <c r="G181">
        <v>0.01290608523193248</v>
      </c>
      <c r="H181">
        <v>0.055</v>
      </c>
      <c r="I181">
        <v>0.09681424803737571</v>
      </c>
      <c r="J181" t="s">
        <v>776</v>
      </c>
      <c r="K181" t="s">
        <v>776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0.023295904168787</v>
      </c>
      <c r="R181" t="s">
        <v>779</v>
      </c>
      <c r="S181" t="s">
        <v>791</v>
      </c>
      <c r="T181">
        <v>4200.990294</v>
      </c>
      <c r="U181" s="2">
        <v>44511</v>
      </c>
      <c r="V181" t="s">
        <v>801</v>
      </c>
    </row>
    <row r="182" spans="1:22">
      <c r="A182" s="1" t="s">
        <v>202</v>
      </c>
      <c r="B182">
        <f>HYPERLINK("https://www.suredividend.com/sure-analysis-FTS/","Fortis Inc.")</f>
        <v>0</v>
      </c>
      <c r="C182">
        <v>44.565</v>
      </c>
      <c r="D182">
        <v>45</v>
      </c>
      <c r="E182">
        <v>0.9903333333333333</v>
      </c>
      <c r="F182">
        <v>0.03792213620554247</v>
      </c>
      <c r="G182">
        <v>0.00194462677649776</v>
      </c>
      <c r="H182">
        <v>0.06</v>
      </c>
      <c r="I182">
        <v>0.0954928753863431</v>
      </c>
      <c r="J182" t="s">
        <v>776</v>
      </c>
      <c r="K182" t="s">
        <v>775</v>
      </c>
      <c r="L182">
        <v>2.14</v>
      </c>
      <c r="M182">
        <v>1.69</v>
      </c>
      <c r="N182">
        <v>0.7897196261682242</v>
      </c>
      <c r="O182">
        <v>48</v>
      </c>
      <c r="P182">
        <v>0.05984986030460782</v>
      </c>
      <c r="Q182">
        <v>0.12334165903129</v>
      </c>
      <c r="R182" t="s">
        <v>779</v>
      </c>
      <c r="S182" t="s">
        <v>791</v>
      </c>
      <c r="T182">
        <v>21161.952308</v>
      </c>
      <c r="U182" s="2">
        <v>44505</v>
      </c>
      <c r="V182" t="s">
        <v>803</v>
      </c>
    </row>
    <row r="183" spans="1:22">
      <c r="A183" s="1" t="s">
        <v>203</v>
      </c>
      <c r="B183">
        <f>HYPERLINK("https://www.suredividend.com/sure-analysis-NJR/","New Jersey Resources Corporation")</f>
        <v>0</v>
      </c>
      <c r="C183">
        <v>39.18</v>
      </c>
      <c r="D183">
        <v>40</v>
      </c>
      <c r="E183">
        <v>0.9795</v>
      </c>
      <c r="F183">
        <v>0.03394589076059214</v>
      </c>
      <c r="G183">
        <v>0.004151200782325004</v>
      </c>
      <c r="H183">
        <v>0.06</v>
      </c>
      <c r="I183">
        <v>0.09428171171728383</v>
      </c>
      <c r="J183" t="s">
        <v>776</v>
      </c>
      <c r="K183" t="s">
        <v>776</v>
      </c>
      <c r="L183">
        <v>2.15</v>
      </c>
      <c r="M183">
        <v>1.33</v>
      </c>
      <c r="N183">
        <v>0.6186046511627907</v>
      </c>
      <c r="O183">
        <v>25</v>
      </c>
      <c r="P183">
        <v>0.06001905503876492</v>
      </c>
      <c r="Q183">
        <v>0.104328318742589</v>
      </c>
      <c r="R183" t="s">
        <v>779</v>
      </c>
      <c r="S183" t="s">
        <v>791</v>
      </c>
      <c r="T183">
        <v>3745.492715</v>
      </c>
      <c r="U183" s="2">
        <v>44418</v>
      </c>
      <c r="V183" t="s">
        <v>801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190.41</v>
      </c>
      <c r="D184">
        <v>209</v>
      </c>
      <c r="E184">
        <v>0.9110526315789473</v>
      </c>
      <c r="F184">
        <v>0.02478861404338007</v>
      </c>
      <c r="G184">
        <v>0.01880556049567672</v>
      </c>
      <c r="H184">
        <v>0.05</v>
      </c>
      <c r="I184">
        <v>0.09403789253538486</v>
      </c>
      <c r="J184" t="s">
        <v>776</v>
      </c>
      <c r="K184" t="s">
        <v>776</v>
      </c>
      <c r="L184">
        <v>14.95</v>
      </c>
      <c r="M184">
        <v>4.72</v>
      </c>
      <c r="N184">
        <v>0.3157190635451505</v>
      </c>
      <c r="O184">
        <v>10</v>
      </c>
      <c r="P184">
        <v>0.099953481691746</v>
      </c>
      <c r="Q184">
        <v>0.19884747815609</v>
      </c>
      <c r="R184" t="s">
        <v>779</v>
      </c>
      <c r="S184" t="s">
        <v>786</v>
      </c>
      <c r="T184">
        <v>7692.512836</v>
      </c>
      <c r="U184" s="2">
        <v>44424</v>
      </c>
      <c r="V184" t="s">
        <v>799</v>
      </c>
    </row>
    <row r="185" spans="1:22">
      <c r="A185" s="1" t="s">
        <v>205</v>
      </c>
      <c r="B185">
        <f>HYPERLINK("https://www.suredividend.com/sure-analysis-BIP/","Brookfield Infrastructure Partners L.P")</f>
        <v>0</v>
      </c>
      <c r="C185">
        <v>58.67</v>
      </c>
      <c r="D185">
        <v>56</v>
      </c>
      <c r="E185">
        <v>1.047678571428571</v>
      </c>
      <c r="F185">
        <v>0.03477075166183739</v>
      </c>
      <c r="G185">
        <v>-0.009272112826513745</v>
      </c>
      <c r="H185">
        <v>0.07000000000000001</v>
      </c>
      <c r="I185">
        <v>0.09289248519268911</v>
      </c>
      <c r="J185" t="s">
        <v>776</v>
      </c>
      <c r="K185" t="s">
        <v>776</v>
      </c>
      <c r="L185">
        <v>3.5</v>
      </c>
      <c r="M185">
        <v>2.04</v>
      </c>
      <c r="N185">
        <v>0.5828571428571429</v>
      </c>
      <c r="O185">
        <v>12</v>
      </c>
      <c r="P185">
        <v>0.0801851873035635</v>
      </c>
      <c r="Q185">
        <v>0.185487806353521</v>
      </c>
      <c r="R185" t="s">
        <v>780</v>
      </c>
      <c r="S185" t="s">
        <v>791</v>
      </c>
      <c r="T185">
        <v>17368.328936</v>
      </c>
      <c r="U185" s="2">
        <v>44506</v>
      </c>
      <c r="V185" t="s">
        <v>803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35.71</v>
      </c>
      <c r="D186">
        <v>32</v>
      </c>
      <c r="E186">
        <v>1.1159375</v>
      </c>
      <c r="F186">
        <v>0.01988238588630635</v>
      </c>
      <c r="G186">
        <v>-0.02170006284850634</v>
      </c>
      <c r="H186">
        <v>0.1</v>
      </c>
      <c r="I186">
        <v>0.09285059382114458</v>
      </c>
      <c r="J186" t="s">
        <v>776</v>
      </c>
      <c r="K186" t="s">
        <v>370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0.241753842404832</v>
      </c>
      <c r="R186" t="s">
        <v>779</v>
      </c>
      <c r="S186" t="s">
        <v>788</v>
      </c>
      <c r="T186">
        <v>50578.690058</v>
      </c>
      <c r="U186" s="2">
        <v>44439</v>
      </c>
      <c r="V186" t="s">
        <v>799</v>
      </c>
    </row>
    <row r="187" spans="1:22">
      <c r="A187" s="1" t="s">
        <v>207</v>
      </c>
      <c r="B187">
        <f>HYPERLINK("https://www.suredividend.com/sure-analysis-HRB/","H&amp;R Block Inc.")</f>
        <v>0</v>
      </c>
      <c r="C187">
        <v>24.55</v>
      </c>
      <c r="D187">
        <v>26.6</v>
      </c>
      <c r="E187">
        <v>0.9229323308270676</v>
      </c>
      <c r="F187">
        <v>0.0439918533604888</v>
      </c>
      <c r="G187">
        <v>0.01616920161118673</v>
      </c>
      <c r="H187">
        <v>0.037</v>
      </c>
      <c r="I187">
        <v>0.09259897894304525</v>
      </c>
      <c r="J187" t="s">
        <v>776</v>
      </c>
      <c r="K187" t="s">
        <v>775</v>
      </c>
      <c r="L187">
        <v>2.84</v>
      </c>
      <c r="M187">
        <v>1.08</v>
      </c>
      <c r="N187">
        <v>0.3802816901408451</v>
      </c>
      <c r="O187">
        <v>1</v>
      </c>
      <c r="P187">
        <v>0.05327276858309027</v>
      </c>
      <c r="Q187">
        <v>0.4707561742308131</v>
      </c>
      <c r="R187" t="s">
        <v>779</v>
      </c>
      <c r="S187" t="s">
        <v>790</v>
      </c>
      <c r="T187">
        <v>4297.651981</v>
      </c>
      <c r="U187" s="2">
        <v>44509</v>
      </c>
      <c r="V187" t="s">
        <v>804</v>
      </c>
    </row>
    <row r="188" spans="1:22">
      <c r="A188" s="1" t="s">
        <v>208</v>
      </c>
      <c r="B188">
        <f>HYPERLINK("https://www.suredividend.com/sure-analysis-BR/","Broadridge Financial Solutions, Inc.")</f>
        <v>0</v>
      </c>
      <c r="C188">
        <v>177.08</v>
      </c>
      <c r="D188">
        <v>160</v>
      </c>
      <c r="E188">
        <v>1.10675</v>
      </c>
      <c r="F188">
        <v>0.01445674271515699</v>
      </c>
      <c r="G188">
        <v>-0.02008119082090787</v>
      </c>
      <c r="H188">
        <v>0.1</v>
      </c>
      <c r="I188">
        <v>0.09191856120846009</v>
      </c>
      <c r="J188" t="s">
        <v>776</v>
      </c>
      <c r="K188" t="s">
        <v>370</v>
      </c>
      <c r="L188">
        <v>6.39</v>
      </c>
      <c r="M188">
        <v>2.56</v>
      </c>
      <c r="N188">
        <v>0.4006259780907668</v>
      </c>
      <c r="O188">
        <v>13</v>
      </c>
      <c r="P188">
        <v>0.09984491222048941</v>
      </c>
      <c r="Q188">
        <v>0.222400642312324</v>
      </c>
      <c r="R188" t="s">
        <v>779</v>
      </c>
      <c r="S188" t="s">
        <v>785</v>
      </c>
      <c r="T188">
        <v>20588.852589</v>
      </c>
      <c r="U188" s="2">
        <v>44512</v>
      </c>
      <c r="V188" t="s">
        <v>801</v>
      </c>
    </row>
    <row r="189" spans="1:22">
      <c r="A189" s="1" t="s">
        <v>209</v>
      </c>
      <c r="B189">
        <f>HYPERLINK("https://www.suredividend.com/sure-analysis-FNV/","Franco-Nevada Corporation")</f>
        <v>0</v>
      </c>
      <c r="C189">
        <v>147.63</v>
      </c>
      <c r="D189">
        <v>161</v>
      </c>
      <c r="E189">
        <v>0.9169565217391304</v>
      </c>
      <c r="F189">
        <v>0.00812842918106076</v>
      </c>
      <c r="G189">
        <v>0.01749023810408734</v>
      </c>
      <c r="H189">
        <v>0.065</v>
      </c>
      <c r="I189">
        <v>0.0909880019634528</v>
      </c>
      <c r="J189" t="s">
        <v>776</v>
      </c>
      <c r="K189" t="s">
        <v>512</v>
      </c>
      <c r="L189">
        <v>3.49</v>
      </c>
      <c r="M189">
        <v>1.2</v>
      </c>
      <c r="N189">
        <v>0.3438395415472779</v>
      </c>
      <c r="O189">
        <v>14</v>
      </c>
      <c r="P189">
        <v>0.0796084730466029</v>
      </c>
      <c r="Q189">
        <v>0.107869558609287</v>
      </c>
      <c r="R189" t="s">
        <v>779</v>
      </c>
      <c r="S189" t="s">
        <v>787</v>
      </c>
      <c r="T189">
        <v>28569.855527</v>
      </c>
      <c r="U189" s="2">
        <v>44508</v>
      </c>
      <c r="V189" t="s">
        <v>801</v>
      </c>
    </row>
    <row r="190" spans="1:22">
      <c r="A190" s="1" t="s">
        <v>210</v>
      </c>
      <c r="B190">
        <f>HYPERLINK("https://www.suredividend.com/sure-analysis-BNS/","Bank Of Nova Scotia")</f>
        <v>0</v>
      </c>
      <c r="C190">
        <v>66.26000000000001</v>
      </c>
      <c r="D190">
        <v>67</v>
      </c>
      <c r="E190">
        <v>0.9889552238805971</v>
      </c>
      <c r="F190">
        <v>0.04240869302746755</v>
      </c>
      <c r="G190">
        <v>0.002223713295007368</v>
      </c>
      <c r="H190">
        <v>0.05</v>
      </c>
      <c r="I190">
        <v>0.08991374096625826</v>
      </c>
      <c r="J190" t="s">
        <v>776</v>
      </c>
      <c r="K190" t="s">
        <v>775</v>
      </c>
      <c r="L190">
        <v>5.93</v>
      </c>
      <c r="M190">
        <v>2.81</v>
      </c>
      <c r="N190">
        <v>0.4738617200674536</v>
      </c>
      <c r="O190">
        <v>9</v>
      </c>
      <c r="P190">
        <v>0.05196296413233981</v>
      </c>
      <c r="Q190">
        <v>0.505641908732496</v>
      </c>
      <c r="R190" t="s">
        <v>779</v>
      </c>
      <c r="S190" t="s">
        <v>789</v>
      </c>
      <c r="T190">
        <v>80759.178403</v>
      </c>
      <c r="U190" s="2">
        <v>44436</v>
      </c>
      <c r="V190" t="s">
        <v>803</v>
      </c>
    </row>
    <row r="191" spans="1:22">
      <c r="A191" s="1" t="s">
        <v>211</v>
      </c>
      <c r="B191">
        <f>HYPERLINK("https://www.suredividend.com/sure-analysis-BLK/","Blackrock Inc.")</f>
        <v>0</v>
      </c>
      <c r="C191">
        <v>953.24</v>
      </c>
      <c r="D191">
        <v>802</v>
      </c>
      <c r="E191">
        <v>1.18857855361596</v>
      </c>
      <c r="F191">
        <v>0.01733036800805673</v>
      </c>
      <c r="G191">
        <v>-0.03396152858158386</v>
      </c>
      <c r="H191">
        <v>0.11</v>
      </c>
      <c r="I191">
        <v>0.08984339072683056</v>
      </c>
      <c r="J191" t="s">
        <v>776</v>
      </c>
      <c r="K191" t="s">
        <v>370</v>
      </c>
      <c r="L191">
        <v>38.2</v>
      </c>
      <c r="M191">
        <v>16.52</v>
      </c>
      <c r="N191">
        <v>0.4324607329842932</v>
      </c>
      <c r="O191">
        <v>11</v>
      </c>
      <c r="P191">
        <v>0.1100226421779109</v>
      </c>
      <c r="Q191">
        <v>0.479769071396127</v>
      </c>
      <c r="R191" t="s">
        <v>779</v>
      </c>
      <c r="S191" t="s">
        <v>789</v>
      </c>
      <c r="T191">
        <v>147586.018284</v>
      </c>
      <c r="U191" s="2">
        <v>44484</v>
      </c>
      <c r="V191" t="s">
        <v>803</v>
      </c>
    </row>
    <row r="192" spans="1:22">
      <c r="A192" s="1" t="s">
        <v>212</v>
      </c>
      <c r="B192">
        <f>HYPERLINK("https://www.suredividend.com/sure-analysis-HBI/","Hanesbrands Inc")</f>
        <v>0</v>
      </c>
      <c r="C192">
        <v>17.75</v>
      </c>
      <c r="D192">
        <v>18</v>
      </c>
      <c r="E192">
        <v>0.9861111111111112</v>
      </c>
      <c r="F192">
        <v>0.03380281690140845</v>
      </c>
      <c r="G192">
        <v>0.002801164344682805</v>
      </c>
      <c r="H192">
        <v>0.06</v>
      </c>
      <c r="I192">
        <v>0.08940774802877582</v>
      </c>
      <c r="J192" t="s">
        <v>776</v>
      </c>
      <c r="K192" t="s">
        <v>776</v>
      </c>
      <c r="L192">
        <v>1.82</v>
      </c>
      <c r="M192">
        <v>0.6</v>
      </c>
      <c r="N192">
        <v>0.3296703296703297</v>
      </c>
      <c r="O192">
        <v>0</v>
      </c>
      <c r="P192">
        <v>0.01613736474159566</v>
      </c>
      <c r="Q192">
        <v>0.40508125867211</v>
      </c>
      <c r="R192" t="s">
        <v>779</v>
      </c>
      <c r="S192" t="s">
        <v>790</v>
      </c>
      <c r="T192">
        <v>6152.983519</v>
      </c>
      <c r="U192" s="2">
        <v>44512</v>
      </c>
      <c r="V192" t="s">
        <v>802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28.06</v>
      </c>
      <c r="D193">
        <v>29</v>
      </c>
      <c r="E193">
        <v>0.9675862068965517</v>
      </c>
      <c r="F193">
        <v>0.05024946543121882</v>
      </c>
      <c r="G193">
        <v>0.006611913888449061</v>
      </c>
      <c r="H193">
        <v>0.04</v>
      </c>
      <c r="I193">
        <v>0.08858016840856853</v>
      </c>
      <c r="J193" t="s">
        <v>776</v>
      </c>
      <c r="K193" t="s">
        <v>775</v>
      </c>
      <c r="L193">
        <v>1.8</v>
      </c>
      <c r="M193">
        <v>1.41</v>
      </c>
      <c r="N193">
        <v>0.7833333333333332</v>
      </c>
      <c r="O193">
        <v>49</v>
      </c>
      <c r="P193">
        <v>0.02560510523091319</v>
      </c>
      <c r="Q193">
        <v>0.173029143164114</v>
      </c>
      <c r="R193" t="s">
        <v>779</v>
      </c>
      <c r="S193" t="s">
        <v>791</v>
      </c>
      <c r="T193">
        <v>5493.114036</v>
      </c>
      <c r="U193" s="2">
        <v>44502</v>
      </c>
      <c r="V193" t="s">
        <v>794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56.22</v>
      </c>
      <c r="D194">
        <v>53</v>
      </c>
      <c r="E194">
        <v>1.060754716981132</v>
      </c>
      <c r="F194">
        <v>0.03130558520099608</v>
      </c>
      <c r="G194">
        <v>-0.0117268288037069</v>
      </c>
      <c r="H194">
        <v>0.07000000000000001</v>
      </c>
      <c r="I194">
        <v>0.08745756294422913</v>
      </c>
      <c r="J194" t="s">
        <v>776</v>
      </c>
      <c r="K194" t="s">
        <v>776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0.308969434084455</v>
      </c>
      <c r="R194" t="s">
        <v>779</v>
      </c>
      <c r="S194" t="s">
        <v>789</v>
      </c>
      <c r="T194">
        <v>32916.951199</v>
      </c>
      <c r="U194" s="2">
        <v>44510</v>
      </c>
      <c r="V194" t="s">
        <v>797</v>
      </c>
    </row>
    <row r="195" spans="1:22">
      <c r="A195" s="1" t="s">
        <v>215</v>
      </c>
      <c r="B195">
        <f>HYPERLINK("https://www.suredividend.com/sure-analysis-UNH/","Unitedhealth Group Inc")</f>
        <v>0</v>
      </c>
      <c r="C195">
        <v>450.8</v>
      </c>
      <c r="D195">
        <v>358</v>
      </c>
      <c r="E195">
        <v>1.259217877094972</v>
      </c>
      <c r="F195">
        <v>0.01286601597160603</v>
      </c>
      <c r="G195">
        <v>-0.04505177931848947</v>
      </c>
      <c r="H195">
        <v>0.12</v>
      </c>
      <c r="I195">
        <v>0.08396802455554675</v>
      </c>
      <c r="J195" t="s">
        <v>776</v>
      </c>
      <c r="K195" t="s">
        <v>370</v>
      </c>
      <c r="L195">
        <v>18.65</v>
      </c>
      <c r="M195">
        <v>5.8</v>
      </c>
      <c r="N195">
        <v>0.3109919571045577</v>
      </c>
      <c r="O195">
        <v>12</v>
      </c>
      <c r="P195">
        <v>0.1400529846685179</v>
      </c>
      <c r="Q195">
        <v>0.309077322807247</v>
      </c>
      <c r="R195" t="s">
        <v>779</v>
      </c>
      <c r="S195" t="s">
        <v>784</v>
      </c>
      <c r="T195">
        <v>432300.305238</v>
      </c>
      <c r="U195" s="2">
        <v>44491</v>
      </c>
      <c r="V195" t="s">
        <v>798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85.09999999999999</v>
      </c>
      <c r="D196">
        <v>86</v>
      </c>
      <c r="E196">
        <v>0.9895348837209301</v>
      </c>
      <c r="F196">
        <v>0.03525264394829612</v>
      </c>
      <c r="G196">
        <v>0.002106267205798096</v>
      </c>
      <c r="H196">
        <v>0.05</v>
      </c>
      <c r="I196">
        <v>0.0836536050375507</v>
      </c>
      <c r="J196" t="s">
        <v>776</v>
      </c>
      <c r="K196" t="s">
        <v>776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0.116944084872598</v>
      </c>
      <c r="R196" t="s">
        <v>779</v>
      </c>
      <c r="S196" t="s">
        <v>786</v>
      </c>
      <c r="T196">
        <v>4003.60086</v>
      </c>
      <c r="U196" s="2">
        <v>44494</v>
      </c>
      <c r="V196" t="s">
        <v>801</v>
      </c>
    </row>
    <row r="197" spans="1:22">
      <c r="A197" s="1" t="s">
        <v>217</v>
      </c>
      <c r="B197">
        <f>HYPERLINK("https://www.suredividend.com/sure-analysis-GWLIF/","Great-West Lifeco, Inc.")</f>
        <v>0</v>
      </c>
      <c r="C197">
        <v>31.03</v>
      </c>
      <c r="D197">
        <v>31</v>
      </c>
      <c r="E197">
        <v>1.000967741935484</v>
      </c>
      <c r="F197">
        <v>0.04511762810183693</v>
      </c>
      <c r="G197">
        <v>-0.0001934360838562466</v>
      </c>
      <c r="H197">
        <v>0.045</v>
      </c>
      <c r="I197">
        <v>0.08322846625741231</v>
      </c>
      <c r="J197" t="s">
        <v>776</v>
      </c>
      <c r="K197" t="s">
        <v>775</v>
      </c>
      <c r="L197">
        <v>2.62</v>
      </c>
      <c r="M197">
        <v>1.4</v>
      </c>
      <c r="N197">
        <v>0.5343511450381678</v>
      </c>
      <c r="O197">
        <v>6</v>
      </c>
      <c r="P197">
        <v>0.02962100943384161</v>
      </c>
      <c r="Q197">
        <v>0.378352291691097</v>
      </c>
      <c r="R197" t="s">
        <v>779</v>
      </c>
      <c r="S197" t="s">
        <v>789</v>
      </c>
      <c r="T197">
        <v>28435.621172</v>
      </c>
      <c r="U197" s="2">
        <v>44419</v>
      </c>
      <c r="V197" t="s">
        <v>801</v>
      </c>
    </row>
    <row r="198" spans="1:22">
      <c r="A198" s="1" t="s">
        <v>218</v>
      </c>
      <c r="B198">
        <f>HYPERLINK("https://www.suredividend.com/sure-analysis-IMO/","Imperial Oil Ltd.")</f>
        <v>0</v>
      </c>
      <c r="C198">
        <v>35.44</v>
      </c>
      <c r="D198">
        <v>39</v>
      </c>
      <c r="E198">
        <v>0.9087179487179486</v>
      </c>
      <c r="F198">
        <v>0.02341986455981942</v>
      </c>
      <c r="G198">
        <v>0.01932852743242441</v>
      </c>
      <c r="H198">
        <v>0.04</v>
      </c>
      <c r="I198">
        <v>0.08195235059710093</v>
      </c>
      <c r="J198" t="s">
        <v>776</v>
      </c>
      <c r="K198" t="s">
        <v>776</v>
      </c>
      <c r="L198">
        <v>2.8</v>
      </c>
      <c r="M198">
        <v>0.83</v>
      </c>
      <c r="N198">
        <v>0.2964285714285714</v>
      </c>
      <c r="O198">
        <v>6</v>
      </c>
      <c r="P198">
        <v>0.06924192562875131</v>
      </c>
      <c r="Q198">
        <v>1.240026685312173</v>
      </c>
      <c r="R198" t="s">
        <v>779</v>
      </c>
      <c r="S198" t="s">
        <v>792</v>
      </c>
      <c r="T198">
        <v>24191.340949</v>
      </c>
      <c r="U198" s="2">
        <v>44502</v>
      </c>
      <c r="V198" t="s">
        <v>802</v>
      </c>
    </row>
    <row r="199" spans="1:22">
      <c r="A199" s="1" t="s">
        <v>219</v>
      </c>
      <c r="B199">
        <f>HYPERLINK("https://www.suredividend.com/sure-analysis-CIO/","City Office REIT Inc")</f>
        <v>0</v>
      </c>
      <c r="C199">
        <v>18.82</v>
      </c>
      <c r="D199">
        <v>14.8</v>
      </c>
      <c r="E199">
        <v>1.271621621621622</v>
      </c>
      <c r="F199">
        <v>0.03188097768331562</v>
      </c>
      <c r="G199">
        <v>-0.04692205604080524</v>
      </c>
      <c r="H199">
        <v>0.1</v>
      </c>
      <c r="I199">
        <v>0.08172839649325403</v>
      </c>
      <c r="J199" t="s">
        <v>776</v>
      </c>
      <c r="K199" t="s">
        <v>776</v>
      </c>
      <c r="L199">
        <v>1.31</v>
      </c>
      <c r="M199">
        <v>0.6</v>
      </c>
      <c r="N199">
        <v>0.4580152671755725</v>
      </c>
      <c r="O199">
        <v>0</v>
      </c>
      <c r="P199">
        <v>0.1008397341583922</v>
      </c>
      <c r="Q199">
        <v>1.480497157212746</v>
      </c>
      <c r="R199" t="s">
        <v>781</v>
      </c>
      <c r="S199" t="s">
        <v>793</v>
      </c>
      <c r="T199">
        <v>817.080075</v>
      </c>
      <c r="U199" s="2">
        <v>44513</v>
      </c>
      <c r="V199" t="s">
        <v>794</v>
      </c>
    </row>
    <row r="200" spans="1:22">
      <c r="A200" s="1" t="s">
        <v>220</v>
      </c>
      <c r="B200">
        <f>HYPERLINK("https://www.suredividend.com/sure-analysis-IBM/","International Business Machines Corp.")</f>
        <v>0</v>
      </c>
      <c r="C200">
        <v>118.87</v>
      </c>
      <c r="D200">
        <v>114</v>
      </c>
      <c r="E200">
        <v>1.042719298245614</v>
      </c>
      <c r="F200">
        <v>0.05518633801632034</v>
      </c>
      <c r="G200">
        <v>-0.008331501176989331</v>
      </c>
      <c r="H200">
        <v>0.04</v>
      </c>
      <c r="I200">
        <v>0.08121931880173738</v>
      </c>
      <c r="J200" t="s">
        <v>776</v>
      </c>
      <c r="K200" t="s">
        <v>775</v>
      </c>
      <c r="L200">
        <v>10.32</v>
      </c>
      <c r="M200">
        <v>6.56</v>
      </c>
      <c r="N200">
        <v>0.6356589147286821</v>
      </c>
      <c r="O200">
        <v>26</v>
      </c>
      <c r="P200">
        <v>0.03996760299438673</v>
      </c>
      <c r="Q200">
        <v>0.06927934203725701</v>
      </c>
      <c r="R200" t="s">
        <v>779</v>
      </c>
      <c r="S200" t="s">
        <v>785</v>
      </c>
      <c r="T200">
        <v>106626.235884</v>
      </c>
      <c r="U200" s="2">
        <v>44494</v>
      </c>
      <c r="V200" t="s">
        <v>799</v>
      </c>
    </row>
    <row r="201" spans="1:22">
      <c r="A201" s="1" t="s">
        <v>221</v>
      </c>
      <c r="B201">
        <f>HYPERLINK("https://www.suredividend.com/sure-analysis-MRK/","Merck &amp; Co Inc")</f>
        <v>0</v>
      </c>
      <c r="C201">
        <v>83.69</v>
      </c>
      <c r="D201">
        <v>85</v>
      </c>
      <c r="E201">
        <v>0.9845882352941177</v>
      </c>
      <c r="F201">
        <v>0.03106703309833911</v>
      </c>
      <c r="G201">
        <v>0.003111181800390606</v>
      </c>
      <c r="H201">
        <v>0.05</v>
      </c>
      <c r="I201">
        <v>0.08106156805228526</v>
      </c>
      <c r="J201" t="s">
        <v>776</v>
      </c>
      <c r="K201" t="s">
        <v>776</v>
      </c>
      <c r="L201">
        <v>5.68</v>
      </c>
      <c r="M201">
        <v>2.6</v>
      </c>
      <c r="N201">
        <v>0.4577464788732395</v>
      </c>
      <c r="O201">
        <v>10</v>
      </c>
      <c r="P201">
        <v>0.05010553388446692</v>
      </c>
      <c r="Q201">
        <v>0.071812728796928</v>
      </c>
      <c r="R201" t="s">
        <v>779</v>
      </c>
      <c r="S201" t="s">
        <v>784</v>
      </c>
      <c r="T201">
        <v>212179.290624</v>
      </c>
      <c r="U201" s="2">
        <v>44500</v>
      </c>
      <c r="V201" t="s">
        <v>795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62.85</v>
      </c>
      <c r="D202">
        <v>57</v>
      </c>
      <c r="E202">
        <v>1.102631578947368</v>
      </c>
      <c r="F202">
        <v>0.02227525855210819</v>
      </c>
      <c r="G202">
        <v>-0.01935026631089121</v>
      </c>
      <c r="H202">
        <v>0.08</v>
      </c>
      <c r="I202">
        <v>0.08066049106806172</v>
      </c>
      <c r="J202" t="s">
        <v>776</v>
      </c>
      <c r="K202" t="s">
        <v>370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0.104937369868896</v>
      </c>
      <c r="R202" t="s">
        <v>779</v>
      </c>
      <c r="S202" t="s">
        <v>788</v>
      </c>
      <c r="T202">
        <v>87576.350447</v>
      </c>
      <c r="U202" s="2">
        <v>44410</v>
      </c>
      <c r="V202" t="s">
        <v>803</v>
      </c>
    </row>
    <row r="203" spans="1:22">
      <c r="A203" s="1" t="s">
        <v>223</v>
      </c>
      <c r="B203">
        <f>HYPERLINK("https://www.suredividend.com/sure-analysis-EMN/","Eastman Chemical Co")</f>
        <v>0</v>
      </c>
      <c r="C203">
        <v>115.11</v>
      </c>
      <c r="D203">
        <v>120</v>
      </c>
      <c r="E203">
        <v>0.95925</v>
      </c>
      <c r="F203">
        <v>0.02397706541568934</v>
      </c>
      <c r="G203">
        <v>0.008355423291252606</v>
      </c>
      <c r="H203">
        <v>0.05</v>
      </c>
      <c r="I203">
        <v>0.08003264850147018</v>
      </c>
      <c r="J203" t="s">
        <v>776</v>
      </c>
      <c r="K203" t="s">
        <v>776</v>
      </c>
      <c r="L203">
        <v>8.9</v>
      </c>
      <c r="M203">
        <v>2.76</v>
      </c>
      <c r="N203">
        <v>0.3101123595505618</v>
      </c>
      <c r="O203">
        <v>11</v>
      </c>
      <c r="P203">
        <v>0.04984870359842875</v>
      </c>
      <c r="Q203">
        <v>0.263022948296292</v>
      </c>
      <c r="R203" t="s">
        <v>779</v>
      </c>
      <c r="S203" t="s">
        <v>787</v>
      </c>
      <c r="T203">
        <v>15576.250725</v>
      </c>
      <c r="U203" s="2">
        <v>44502</v>
      </c>
      <c r="V203" t="s">
        <v>794</v>
      </c>
    </row>
    <row r="204" spans="1:22">
      <c r="A204" s="1" t="s">
        <v>224</v>
      </c>
      <c r="B204">
        <f>HYPERLINK("https://www.suredividend.com/sure-analysis-RBGLY/","Reckitt Benckiser Group Plc")</f>
        <v>0</v>
      </c>
      <c r="C204">
        <v>16.64</v>
      </c>
      <c r="D204">
        <v>18</v>
      </c>
      <c r="E204">
        <v>0.9244444444444445</v>
      </c>
      <c r="F204">
        <v>0.02644230769230769</v>
      </c>
      <c r="G204">
        <v>0.01583655433814157</v>
      </c>
      <c r="H204">
        <v>0.04</v>
      </c>
      <c r="I204">
        <v>0.07923417780825193</v>
      </c>
      <c r="J204" t="s">
        <v>776</v>
      </c>
      <c r="K204" t="s">
        <v>776</v>
      </c>
      <c r="L204">
        <v>1.2</v>
      </c>
      <c r="M204">
        <v>0.44</v>
      </c>
      <c r="N204">
        <v>0.3666666666666667</v>
      </c>
      <c r="O204">
        <v>0</v>
      </c>
      <c r="P204">
        <v>0.03792181163298758</v>
      </c>
      <c r="Q204">
        <v>-0.108230892570817</v>
      </c>
      <c r="R204" t="s">
        <v>779</v>
      </c>
      <c r="S204" t="s">
        <v>788</v>
      </c>
      <c r="T204">
        <v>59583.480061</v>
      </c>
      <c r="U204" s="2">
        <v>44497</v>
      </c>
      <c r="V204" t="s">
        <v>805</v>
      </c>
    </row>
    <row r="205" spans="1:22">
      <c r="A205" s="1" t="s">
        <v>225</v>
      </c>
      <c r="B205">
        <f>HYPERLINK("https://www.suredividend.com/sure-analysis-TD/","Toronto Dominion Bank")</f>
        <v>0</v>
      </c>
      <c r="C205">
        <v>74.59</v>
      </c>
      <c r="D205">
        <v>74</v>
      </c>
      <c r="E205">
        <v>1.007972972972973</v>
      </c>
      <c r="F205">
        <v>0.03365062340796353</v>
      </c>
      <c r="G205">
        <v>-0.001587010717134407</v>
      </c>
      <c r="H205">
        <v>0.05</v>
      </c>
      <c r="I205">
        <v>0.07881625809348258</v>
      </c>
      <c r="J205" t="s">
        <v>776</v>
      </c>
      <c r="K205" t="s">
        <v>776</v>
      </c>
      <c r="L205">
        <v>6.08</v>
      </c>
      <c r="M205">
        <v>2.51</v>
      </c>
      <c r="N205">
        <v>0.412828947368421</v>
      </c>
      <c r="O205">
        <v>9</v>
      </c>
      <c r="P205">
        <v>0.04977264413928073</v>
      </c>
      <c r="Q205">
        <v>0.5522303406399091</v>
      </c>
      <c r="R205" t="s">
        <v>779</v>
      </c>
      <c r="S205" t="s">
        <v>789</v>
      </c>
      <c r="T205">
        <v>135679.968389</v>
      </c>
      <c r="U205" s="2">
        <v>44444</v>
      </c>
      <c r="V205" t="s">
        <v>803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105.81</v>
      </c>
      <c r="D206">
        <v>94.92</v>
      </c>
      <c r="E206">
        <v>1.11472819216182</v>
      </c>
      <c r="F206">
        <v>0.03175503260561383</v>
      </c>
      <c r="G206">
        <v>-0.02148789404414941</v>
      </c>
      <c r="H206">
        <v>0.07000000000000001</v>
      </c>
      <c r="I206">
        <v>0.07881321425468935</v>
      </c>
      <c r="J206" t="s">
        <v>776</v>
      </c>
      <c r="K206" t="s">
        <v>776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0.440252186557284</v>
      </c>
      <c r="R206" t="s">
        <v>779</v>
      </c>
      <c r="S206" t="s">
        <v>789</v>
      </c>
      <c r="T206">
        <v>151191.8256</v>
      </c>
      <c r="U206" s="2">
        <v>44444</v>
      </c>
      <c r="V206" t="s">
        <v>803</v>
      </c>
    </row>
    <row r="207" spans="1:22">
      <c r="A207" s="1" t="s">
        <v>227</v>
      </c>
      <c r="B207">
        <f>HYPERLINK("https://www.suredividend.com/sure-analysis-HD/","Home Depot, Inc.")</f>
        <v>0</v>
      </c>
      <c r="C207">
        <v>371.08</v>
      </c>
      <c r="D207">
        <v>320</v>
      </c>
      <c r="E207">
        <v>1.159625</v>
      </c>
      <c r="F207">
        <v>0.01778592217311631</v>
      </c>
      <c r="G207">
        <v>-0.02918498186856378</v>
      </c>
      <c r="H207">
        <v>0.09</v>
      </c>
      <c r="I207">
        <v>0.07607424267451002</v>
      </c>
      <c r="J207" t="s">
        <v>776</v>
      </c>
      <c r="K207" t="s">
        <v>370</v>
      </c>
      <c r="L207">
        <v>14.55</v>
      </c>
      <c r="M207">
        <v>6.6</v>
      </c>
      <c r="N207">
        <v>0.4536082474226804</v>
      </c>
      <c r="O207">
        <v>12</v>
      </c>
      <c r="P207">
        <v>0.08989440052011655</v>
      </c>
      <c r="Q207">
        <v>0.374295297013453</v>
      </c>
      <c r="R207" t="s">
        <v>779</v>
      </c>
      <c r="S207" t="s">
        <v>790</v>
      </c>
      <c r="T207">
        <v>393258.31089</v>
      </c>
      <c r="U207" s="2">
        <v>44427</v>
      </c>
      <c r="V207" t="s">
        <v>801</v>
      </c>
    </row>
    <row r="208" spans="1:22">
      <c r="A208" s="1" t="s">
        <v>228</v>
      </c>
      <c r="B208">
        <f>HYPERLINK("https://www.suredividend.com/sure-analysis-TTC/","Toro Co.")</f>
        <v>0</v>
      </c>
      <c r="C208">
        <v>101.9</v>
      </c>
      <c r="D208">
        <v>83</v>
      </c>
      <c r="E208">
        <v>1.227710843373494</v>
      </c>
      <c r="F208">
        <v>0.01030421982335623</v>
      </c>
      <c r="G208">
        <v>-0.04019992026789843</v>
      </c>
      <c r="H208">
        <v>0.11</v>
      </c>
      <c r="I208">
        <v>0.07590648665775679</v>
      </c>
      <c r="J208" t="s">
        <v>776</v>
      </c>
      <c r="K208" t="s">
        <v>512</v>
      </c>
      <c r="L208">
        <v>3.55</v>
      </c>
      <c r="M208">
        <v>1.05</v>
      </c>
      <c r="N208">
        <v>0.295774647887324</v>
      </c>
      <c r="O208">
        <v>11</v>
      </c>
      <c r="P208">
        <v>0.09986525071768737</v>
      </c>
      <c r="Q208">
        <v>0.190152986520571</v>
      </c>
      <c r="R208" t="s">
        <v>779</v>
      </c>
      <c r="S208" t="s">
        <v>786</v>
      </c>
      <c r="T208">
        <v>10919.094556</v>
      </c>
      <c r="U208" s="2">
        <v>44453</v>
      </c>
      <c r="V208" t="s">
        <v>801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119.28</v>
      </c>
      <c r="D209">
        <v>113</v>
      </c>
      <c r="E209">
        <v>1.055575221238938</v>
      </c>
      <c r="F209">
        <v>0.03881623071763917</v>
      </c>
      <c r="G209">
        <v>-0.0107588751473664</v>
      </c>
      <c r="H209">
        <v>0.05</v>
      </c>
      <c r="I209">
        <v>0.07480294183424463</v>
      </c>
      <c r="J209" t="s">
        <v>776</v>
      </c>
      <c r="K209" t="s">
        <v>775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0.550943454943413</v>
      </c>
      <c r="R209" t="s">
        <v>779</v>
      </c>
      <c r="S209" t="s">
        <v>789</v>
      </c>
      <c r="T209">
        <v>53863.246822</v>
      </c>
      <c r="U209" s="2">
        <v>44442</v>
      </c>
      <c r="V209" t="s">
        <v>803</v>
      </c>
    </row>
    <row r="210" spans="1:22">
      <c r="A210" s="1" t="s">
        <v>230</v>
      </c>
      <c r="B210">
        <f>HYPERLINK("https://www.suredividend.com/sure-analysis-BMO/","Bank of Montreal")</f>
        <v>0</v>
      </c>
      <c r="C210">
        <v>112.07</v>
      </c>
      <c r="D210">
        <v>110</v>
      </c>
      <c r="E210">
        <v>1.018818181818182</v>
      </c>
      <c r="F210">
        <v>0.02953511198358169</v>
      </c>
      <c r="G210">
        <v>-0.003721719225780795</v>
      </c>
      <c r="H210">
        <v>0.05</v>
      </c>
      <c r="I210">
        <v>0.07470324879954782</v>
      </c>
      <c r="J210" t="s">
        <v>776</v>
      </c>
      <c r="K210" t="s">
        <v>776</v>
      </c>
      <c r="L210">
        <v>9.779999999999999</v>
      </c>
      <c r="M210">
        <v>3.31</v>
      </c>
      <c r="N210">
        <v>0.3384458077709612</v>
      </c>
      <c r="O210">
        <v>9</v>
      </c>
      <c r="P210">
        <v>0.06850014718252129</v>
      </c>
      <c r="Q210">
        <v>0.7384475425514541</v>
      </c>
      <c r="R210" t="s">
        <v>779</v>
      </c>
      <c r="S210" t="s">
        <v>789</v>
      </c>
      <c r="T210">
        <v>72448.34013500001</v>
      </c>
      <c r="U210" s="2">
        <v>44442</v>
      </c>
      <c r="V210" t="s">
        <v>803</v>
      </c>
    </row>
    <row r="211" spans="1:22">
      <c r="A211" s="1" t="s">
        <v>231</v>
      </c>
      <c r="B211">
        <f>HYPERLINK("https://www.suredividend.com/sure-analysis-LNT/","Alliant Energy Corp.")</f>
        <v>0</v>
      </c>
      <c r="C211">
        <v>56.24</v>
      </c>
      <c r="D211">
        <v>53</v>
      </c>
      <c r="E211">
        <v>1.061132075471698</v>
      </c>
      <c r="F211">
        <v>0.02862731152204837</v>
      </c>
      <c r="G211">
        <v>-0.01179712850360726</v>
      </c>
      <c r="H211">
        <v>0.06</v>
      </c>
      <c r="I211">
        <v>0.07445029529384262</v>
      </c>
      <c r="J211" t="s">
        <v>776</v>
      </c>
      <c r="K211" t="s">
        <v>776</v>
      </c>
      <c r="L211">
        <v>2.63</v>
      </c>
      <c r="M211">
        <v>1.61</v>
      </c>
      <c r="N211">
        <v>0.6121673003802282</v>
      </c>
      <c r="O211">
        <v>18</v>
      </c>
      <c r="P211">
        <v>0.05955258842469102</v>
      </c>
      <c r="Q211">
        <v>0.013227484139114</v>
      </c>
      <c r="R211" t="s">
        <v>779</v>
      </c>
      <c r="S211" t="s">
        <v>791</v>
      </c>
      <c r="T211">
        <v>13836.756858</v>
      </c>
      <c r="U211" s="2">
        <v>44513</v>
      </c>
      <c r="V211" t="s">
        <v>796</v>
      </c>
    </row>
    <row r="212" spans="1:22">
      <c r="A212" s="1" t="s">
        <v>232</v>
      </c>
      <c r="B212">
        <f>HYPERLINK("https://www.suredividend.com/sure-analysis-CMI/","Cummins Inc.")</f>
        <v>0</v>
      </c>
      <c r="C212">
        <v>236.03</v>
      </c>
      <c r="D212">
        <v>207</v>
      </c>
      <c r="E212">
        <v>1.14024154589372</v>
      </c>
      <c r="F212">
        <v>0.02457314748125238</v>
      </c>
      <c r="G212">
        <v>-0.02590653936447607</v>
      </c>
      <c r="H212">
        <v>0.08</v>
      </c>
      <c r="I212">
        <v>0.07432885808085588</v>
      </c>
      <c r="J212" t="s">
        <v>776</v>
      </c>
      <c r="K212" t="s">
        <v>776</v>
      </c>
      <c r="L212">
        <v>15.92</v>
      </c>
      <c r="M212">
        <v>5.8</v>
      </c>
      <c r="N212">
        <v>0.364321608040201</v>
      </c>
      <c r="O212">
        <v>16</v>
      </c>
      <c r="P212">
        <v>0.0499309672496191</v>
      </c>
      <c r="Q212">
        <v>0.022200884921304</v>
      </c>
      <c r="R212" t="s">
        <v>779</v>
      </c>
      <c r="S212" t="s">
        <v>786</v>
      </c>
      <c r="T212">
        <v>33804.146956</v>
      </c>
      <c r="U212" s="2">
        <v>44502</v>
      </c>
      <c r="V212" t="s">
        <v>795</v>
      </c>
    </row>
    <row r="213" spans="1:22">
      <c r="A213" s="1" t="s">
        <v>233</v>
      </c>
      <c r="B213">
        <f>HYPERLINK("https://www.suredividend.com/sure-analysis-SNA/","Snap-on, Inc.")</f>
        <v>0</v>
      </c>
      <c r="C213">
        <v>221.68</v>
      </c>
      <c r="D213">
        <v>231</v>
      </c>
      <c r="E213">
        <v>0.9596536796536796</v>
      </c>
      <c r="F213">
        <v>0.0256225189462288</v>
      </c>
      <c r="G213">
        <v>0.008270575791602397</v>
      </c>
      <c r="H213">
        <v>0.04</v>
      </c>
      <c r="I213">
        <v>0.07418541885638263</v>
      </c>
      <c r="J213" t="s">
        <v>776</v>
      </c>
      <c r="K213" t="s">
        <v>776</v>
      </c>
      <c r="L213">
        <v>14.45</v>
      </c>
      <c r="M213">
        <v>5.68</v>
      </c>
      <c r="N213">
        <v>0.3930795847750865</v>
      </c>
      <c r="O213">
        <v>12</v>
      </c>
      <c r="P213">
        <v>0.08010910720791475</v>
      </c>
      <c r="Q213">
        <v>0.322926906270404</v>
      </c>
      <c r="R213" t="s">
        <v>779</v>
      </c>
      <c r="S213" t="s">
        <v>786</v>
      </c>
      <c r="T213">
        <v>11886.754485</v>
      </c>
      <c r="U213" s="2">
        <v>44498</v>
      </c>
      <c r="V213" t="s">
        <v>798</v>
      </c>
    </row>
    <row r="214" spans="1:22">
      <c r="A214" s="1" t="s">
        <v>234</v>
      </c>
      <c r="B214">
        <f>HYPERLINK("https://www.suredividend.com/sure-analysis-TXN/","Texas Instruments Inc.")</f>
        <v>0</v>
      </c>
      <c r="C214">
        <v>189.23</v>
      </c>
      <c r="D214">
        <v>162</v>
      </c>
      <c r="E214">
        <v>1.168086419753086</v>
      </c>
      <c r="F214">
        <v>0.02430904190667442</v>
      </c>
      <c r="G214">
        <v>-0.03059555884450527</v>
      </c>
      <c r="H214">
        <v>0.08</v>
      </c>
      <c r="I214">
        <v>0.07212016434043345</v>
      </c>
      <c r="J214" t="s">
        <v>776</v>
      </c>
      <c r="K214" t="s">
        <v>370</v>
      </c>
      <c r="L214">
        <v>8.1</v>
      </c>
      <c r="M214">
        <v>4.6</v>
      </c>
      <c r="N214">
        <v>0.5679012345679012</v>
      </c>
      <c r="O214">
        <v>18</v>
      </c>
      <c r="P214">
        <v>0.09007175117662958</v>
      </c>
      <c r="Q214">
        <v>0.241949510518478</v>
      </c>
      <c r="R214" t="s">
        <v>779</v>
      </c>
      <c r="S214" t="s">
        <v>785</v>
      </c>
      <c r="T214">
        <v>175543.831014</v>
      </c>
      <c r="U214" s="2">
        <v>44504</v>
      </c>
      <c r="V214" t="s">
        <v>797</v>
      </c>
    </row>
    <row r="215" spans="1:22">
      <c r="A215" s="1" t="s">
        <v>235</v>
      </c>
      <c r="B215">
        <f>HYPERLINK("https://www.suredividend.com/sure-analysis-UVV/","Universal Corp.")</f>
        <v>0</v>
      </c>
      <c r="C215">
        <v>49.74</v>
      </c>
      <c r="D215">
        <v>50</v>
      </c>
      <c r="E215">
        <v>0.9948</v>
      </c>
      <c r="F215">
        <v>0.06272617611580217</v>
      </c>
      <c r="G215">
        <v>0.001043257225203709</v>
      </c>
      <c r="H215">
        <v>0.015</v>
      </c>
      <c r="I215">
        <v>0.07054569871804062</v>
      </c>
      <c r="J215" t="s">
        <v>776</v>
      </c>
      <c r="K215" t="s">
        <v>775</v>
      </c>
      <c r="L215">
        <v>4.5</v>
      </c>
      <c r="M215">
        <v>3.12</v>
      </c>
      <c r="N215">
        <v>0.6933333333333334</v>
      </c>
      <c r="O215">
        <v>50</v>
      </c>
      <c r="P215">
        <v>0.01005227214699711</v>
      </c>
      <c r="Q215">
        <v>0.153489899049115</v>
      </c>
      <c r="R215" t="s">
        <v>779</v>
      </c>
      <c r="S215" t="s">
        <v>788</v>
      </c>
      <c r="T215">
        <v>1210.437219</v>
      </c>
      <c r="U215" s="2">
        <v>44440</v>
      </c>
      <c r="V215" t="s">
        <v>797</v>
      </c>
    </row>
    <row r="216" spans="1:22">
      <c r="A216" s="1" t="s">
        <v>236</v>
      </c>
      <c r="B216">
        <f>HYPERLINK("https://www.suredividend.com/sure-analysis-PB/","Prosperity Bancshares Inc.")</f>
        <v>0</v>
      </c>
      <c r="C216">
        <v>76.64</v>
      </c>
      <c r="D216">
        <v>82</v>
      </c>
      <c r="E216">
        <v>0.9346341463414635</v>
      </c>
      <c r="F216">
        <v>0.02713987473903967</v>
      </c>
      <c r="G216">
        <v>0.01361183151324941</v>
      </c>
      <c r="H216">
        <v>0.03</v>
      </c>
      <c r="I216">
        <v>0.06986474158527511</v>
      </c>
      <c r="J216" t="s">
        <v>776</v>
      </c>
      <c r="K216" t="s">
        <v>776</v>
      </c>
      <c r="L216">
        <v>5.75</v>
      </c>
      <c r="M216">
        <v>2.08</v>
      </c>
      <c r="N216">
        <v>0.3617391304347826</v>
      </c>
      <c r="O216">
        <v>18</v>
      </c>
      <c r="P216">
        <v>0.05820339229333826</v>
      </c>
      <c r="Q216">
        <v>0.286305800875097</v>
      </c>
      <c r="R216" t="s">
        <v>779</v>
      </c>
      <c r="S216" t="s">
        <v>789</v>
      </c>
      <c r="T216">
        <v>7066.2871</v>
      </c>
      <c r="U216" s="2">
        <v>44498</v>
      </c>
      <c r="V216" t="s">
        <v>802</v>
      </c>
    </row>
    <row r="217" spans="1:22">
      <c r="A217" s="1" t="s">
        <v>237</v>
      </c>
      <c r="B217">
        <f>HYPERLINK("https://www.suredividend.com/sure-analysis-NTIOF/","National Bank of Canada")</f>
        <v>0</v>
      </c>
      <c r="C217">
        <v>83.92</v>
      </c>
      <c r="D217">
        <v>77</v>
      </c>
      <c r="E217">
        <v>1.08987012987013</v>
      </c>
      <c r="F217">
        <v>0.02669208770257388</v>
      </c>
      <c r="G217">
        <v>-0.01706443315669148</v>
      </c>
      <c r="H217">
        <v>0.06</v>
      </c>
      <c r="I217">
        <v>0.06914444374906847</v>
      </c>
      <c r="J217" t="s">
        <v>776</v>
      </c>
      <c r="K217" t="s">
        <v>776</v>
      </c>
      <c r="L217">
        <v>6.73</v>
      </c>
      <c r="M217">
        <v>2.24</v>
      </c>
      <c r="N217">
        <v>0.3328380386329866</v>
      </c>
      <c r="O217">
        <v>9</v>
      </c>
      <c r="P217">
        <v>0.0799150058822331</v>
      </c>
      <c r="Q217">
        <v>0.587901701323251</v>
      </c>
      <c r="R217" t="s">
        <v>779</v>
      </c>
      <c r="S217" t="s">
        <v>789</v>
      </c>
      <c r="T217">
        <v>28375.993212</v>
      </c>
      <c r="U217" s="2">
        <v>44436</v>
      </c>
      <c r="V217" t="s">
        <v>803</v>
      </c>
    </row>
    <row r="218" spans="1:22">
      <c r="A218" s="1" t="s">
        <v>238</v>
      </c>
      <c r="B218">
        <f>HYPERLINK("https://www.suredividend.com/sure-analysis-EQIX/","Equinix Inc")</f>
        <v>0</v>
      </c>
      <c r="C218">
        <v>794.97</v>
      </c>
      <c r="D218">
        <v>638</v>
      </c>
      <c r="E218">
        <v>1.246034482758621</v>
      </c>
      <c r="F218">
        <v>0.01444079650804433</v>
      </c>
      <c r="G218">
        <v>-0.04303955335202558</v>
      </c>
      <c r="H218">
        <v>0.1</v>
      </c>
      <c r="I218">
        <v>0.06799983851410141</v>
      </c>
      <c r="J218" t="s">
        <v>776</v>
      </c>
      <c r="K218" t="s">
        <v>512</v>
      </c>
      <c r="L218">
        <v>27.14</v>
      </c>
      <c r="M218">
        <v>11.48</v>
      </c>
      <c r="N218">
        <v>0.4229918938835667</v>
      </c>
      <c r="O218">
        <v>5</v>
      </c>
      <c r="P218">
        <v>0.1000160063233719</v>
      </c>
      <c r="Q218">
        <v>0.03493325168369001</v>
      </c>
      <c r="R218" t="s">
        <v>781</v>
      </c>
      <c r="S218" t="s">
        <v>793</v>
      </c>
      <c r="T218">
        <v>69817.046068</v>
      </c>
      <c r="U218" s="2">
        <v>44505</v>
      </c>
      <c r="V218" t="s">
        <v>801</v>
      </c>
    </row>
    <row r="219" spans="1:22">
      <c r="A219" s="1" t="s">
        <v>239</v>
      </c>
      <c r="B219">
        <f>HYPERLINK("https://www.suredividend.com/sure-analysis-EIX/","Edison International")</f>
        <v>0</v>
      </c>
      <c r="C219">
        <v>64.58</v>
      </c>
      <c r="D219">
        <v>56.6</v>
      </c>
      <c r="E219">
        <v>1.140989399293286</v>
      </c>
      <c r="F219">
        <v>0.04103437596779189</v>
      </c>
      <c r="G219">
        <v>-0.02603426538405351</v>
      </c>
      <c r="H219">
        <v>0.058</v>
      </c>
      <c r="I219">
        <v>0.06769046638403342</v>
      </c>
      <c r="J219" t="s">
        <v>776</v>
      </c>
      <c r="K219" t="s">
        <v>775</v>
      </c>
      <c r="L219">
        <v>4.49</v>
      </c>
      <c r="M219">
        <v>2.65</v>
      </c>
      <c r="N219">
        <v>0.5902004454342984</v>
      </c>
      <c r="O219">
        <v>17</v>
      </c>
      <c r="P219">
        <v>0.03186567045409161</v>
      </c>
      <c r="Q219">
        <v>0.048872837230413</v>
      </c>
      <c r="R219" t="s">
        <v>779</v>
      </c>
      <c r="S219" t="s">
        <v>791</v>
      </c>
      <c r="T219">
        <v>24392.236288</v>
      </c>
      <c r="U219" s="2">
        <v>44509</v>
      </c>
      <c r="V219" t="s">
        <v>804</v>
      </c>
    </row>
    <row r="220" spans="1:22">
      <c r="A220" s="1" t="s">
        <v>240</v>
      </c>
      <c r="B220">
        <f>HYPERLINK("https://www.suredividend.com/sure-analysis-PBCT/","People`s United Financial Inc")</f>
        <v>0</v>
      </c>
      <c r="C220">
        <v>18.55</v>
      </c>
      <c r="D220">
        <v>18</v>
      </c>
      <c r="E220">
        <v>1.030555555555556</v>
      </c>
      <c r="F220">
        <v>0.03935309973045822</v>
      </c>
      <c r="G220">
        <v>-0.006001524701288119</v>
      </c>
      <c r="H220">
        <v>0.04</v>
      </c>
      <c r="I220">
        <v>0.06736394042658045</v>
      </c>
      <c r="J220" t="s">
        <v>776</v>
      </c>
      <c r="K220" t="s">
        <v>775</v>
      </c>
      <c r="L220">
        <v>1.33</v>
      </c>
      <c r="M220">
        <v>0.73</v>
      </c>
      <c r="N220">
        <v>0.5488721804511277</v>
      </c>
      <c r="O220">
        <v>29</v>
      </c>
      <c r="P220">
        <v>0.01333804570728625</v>
      </c>
      <c r="Q220">
        <v>0.5227128374755631</v>
      </c>
      <c r="R220" t="s">
        <v>779</v>
      </c>
      <c r="S220" t="s">
        <v>789</v>
      </c>
      <c r="T220">
        <v>7901.249366</v>
      </c>
      <c r="U220" s="2">
        <v>44495</v>
      </c>
      <c r="V220" t="s">
        <v>802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89.03</v>
      </c>
      <c r="D221">
        <v>76</v>
      </c>
      <c r="E221">
        <v>1.171447368421053</v>
      </c>
      <c r="F221">
        <v>0.01662361001909469</v>
      </c>
      <c r="G221">
        <v>-0.03115245353618035</v>
      </c>
      <c r="H221">
        <v>0.08</v>
      </c>
      <c r="I221">
        <v>0.06539280615269649</v>
      </c>
      <c r="J221" t="s">
        <v>776</v>
      </c>
      <c r="K221" t="s">
        <v>370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0.043897122980026</v>
      </c>
      <c r="R221" t="s">
        <v>779</v>
      </c>
      <c r="S221" t="s">
        <v>786</v>
      </c>
      <c r="T221">
        <v>12030.614542</v>
      </c>
      <c r="U221" s="2">
        <v>44508</v>
      </c>
      <c r="V221" t="s">
        <v>799</v>
      </c>
    </row>
    <row r="222" spans="1:22">
      <c r="A222" s="1" t="s">
        <v>242</v>
      </c>
      <c r="B222">
        <f>HYPERLINK("https://www.suredividend.com/sure-analysis-FOXA/","Fox Corporation")</f>
        <v>0</v>
      </c>
      <c r="C222">
        <v>41.27</v>
      </c>
      <c r="D222">
        <v>42</v>
      </c>
      <c r="E222">
        <v>0.9826190476190477</v>
      </c>
      <c r="F222">
        <v>0.01114611097649624</v>
      </c>
      <c r="G222">
        <v>0.0035129107623455</v>
      </c>
      <c r="H222">
        <v>0.05</v>
      </c>
      <c r="I222">
        <v>0.06257944862689602</v>
      </c>
      <c r="J222" t="s">
        <v>776</v>
      </c>
      <c r="K222" t="s">
        <v>370</v>
      </c>
      <c r="L222">
        <v>2.77</v>
      </c>
      <c r="M222">
        <v>0.46</v>
      </c>
      <c r="N222">
        <v>0.1660649819494585</v>
      </c>
      <c r="O222">
        <v>0</v>
      </c>
      <c r="P222">
        <v>0</v>
      </c>
      <c r="Q222">
        <v>0.5616213505175011</v>
      </c>
      <c r="R222" t="s">
        <v>779</v>
      </c>
      <c r="S222" t="s">
        <v>783</v>
      </c>
      <c r="T222">
        <v>22674.733594</v>
      </c>
      <c r="U222" s="2">
        <v>44425</v>
      </c>
      <c r="V222" t="s">
        <v>796</v>
      </c>
    </row>
    <row r="223" spans="1:22">
      <c r="A223" s="1" t="s">
        <v>243</v>
      </c>
      <c r="B223">
        <f>HYPERLINK("https://www.suredividend.com/sure-analysis-AXS/","Axis Capital Holdings Ltd")</f>
        <v>0</v>
      </c>
      <c r="C223">
        <v>53.31</v>
      </c>
      <c r="D223">
        <v>54</v>
      </c>
      <c r="E223">
        <v>0.9872222222222222</v>
      </c>
      <c r="F223">
        <v>0.03151378728193584</v>
      </c>
      <c r="G223">
        <v>0.002575333635062238</v>
      </c>
      <c r="H223">
        <v>0.03</v>
      </c>
      <c r="I223">
        <v>0.06134542710770718</v>
      </c>
      <c r="J223" t="s">
        <v>776</v>
      </c>
      <c r="K223" t="s">
        <v>775</v>
      </c>
      <c r="L223">
        <v>4.36</v>
      </c>
      <c r="M223">
        <v>1.68</v>
      </c>
      <c r="N223">
        <v>0.3853211009174312</v>
      </c>
      <c r="O223">
        <v>19</v>
      </c>
      <c r="P223">
        <v>0.03025579475561258</v>
      </c>
      <c r="Q223">
        <v>0.120811075147612</v>
      </c>
      <c r="R223" t="s">
        <v>779</v>
      </c>
      <c r="S223" t="s">
        <v>789</v>
      </c>
      <c r="T223">
        <v>4459.07963</v>
      </c>
      <c r="U223" s="2">
        <v>44512</v>
      </c>
      <c r="V223" t="s">
        <v>798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57.27</v>
      </c>
      <c r="D224">
        <v>51</v>
      </c>
      <c r="E224">
        <v>1.122941176470588</v>
      </c>
      <c r="F224">
        <v>0.02584250043652872</v>
      </c>
      <c r="G224">
        <v>-0.02292343126536633</v>
      </c>
      <c r="H224">
        <v>0.06</v>
      </c>
      <c r="I224">
        <v>0.06124516843367389</v>
      </c>
      <c r="J224" t="s">
        <v>776</v>
      </c>
      <c r="K224" t="s">
        <v>776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0.412708910359368</v>
      </c>
      <c r="R224" t="s">
        <v>779</v>
      </c>
      <c r="S224" t="s">
        <v>785</v>
      </c>
      <c r="T224">
        <v>239645.570231</v>
      </c>
      <c r="U224" s="2">
        <v>44428</v>
      </c>
      <c r="V224" t="s">
        <v>795</v>
      </c>
    </row>
    <row r="225" spans="1:22">
      <c r="A225" s="1" t="s">
        <v>245</v>
      </c>
      <c r="B225">
        <f>HYPERLINK("https://www.suredividend.com/sure-analysis-RELX/","RELX Plc")</f>
        <v>0</v>
      </c>
      <c r="C225">
        <v>31.48</v>
      </c>
      <c r="D225">
        <v>28.6</v>
      </c>
      <c r="E225">
        <v>1.100699300699301</v>
      </c>
      <c r="F225">
        <v>0.02064803049555273</v>
      </c>
      <c r="G225">
        <v>-0.0190062015954725</v>
      </c>
      <c r="H225">
        <v>0.06</v>
      </c>
      <c r="I225">
        <v>0.06015240760186602</v>
      </c>
      <c r="J225" t="s">
        <v>776</v>
      </c>
      <c r="K225" t="s">
        <v>370</v>
      </c>
      <c r="L225">
        <v>1.19</v>
      </c>
      <c r="M225">
        <v>0.65</v>
      </c>
      <c r="N225">
        <v>0.546218487394958</v>
      </c>
      <c r="O225">
        <v>10</v>
      </c>
      <c r="P225">
        <v>0.06003737798448272</v>
      </c>
      <c r="Q225">
        <v>0.387597609787822</v>
      </c>
      <c r="R225" t="s">
        <v>779</v>
      </c>
      <c r="S225" t="s">
        <v>783</v>
      </c>
      <c r="T225">
        <v>61497.008507</v>
      </c>
      <c r="U225" s="2">
        <v>44411</v>
      </c>
      <c r="V225" t="s">
        <v>794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64.37</v>
      </c>
      <c r="D226">
        <v>65</v>
      </c>
      <c r="E226">
        <v>0.9903076923076923</v>
      </c>
      <c r="F226">
        <v>0.05468385894050023</v>
      </c>
      <c r="G226">
        <v>0.001949815188542647</v>
      </c>
      <c r="H226">
        <v>0.01</v>
      </c>
      <c r="I226">
        <v>0.06003286228477323</v>
      </c>
      <c r="J226" t="s">
        <v>776</v>
      </c>
      <c r="K226" t="s">
        <v>775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0.8776165861035191</v>
      </c>
      <c r="R226" t="s">
        <v>779</v>
      </c>
      <c r="S226" t="s">
        <v>792</v>
      </c>
      <c r="T226">
        <v>270186.235665</v>
      </c>
      <c r="U226" s="2">
        <v>44501</v>
      </c>
      <c r="V226" t="s">
        <v>802</v>
      </c>
    </row>
    <row r="227" spans="1:22">
      <c r="A227" s="1" t="s">
        <v>247</v>
      </c>
      <c r="B227">
        <f>HYPERLINK("https://www.suredividend.com/sure-analysis-DTE/","DTE Energy Co.")</f>
        <v>0</v>
      </c>
      <c r="C227">
        <v>113.2</v>
      </c>
      <c r="D227">
        <v>102</v>
      </c>
      <c r="E227">
        <v>1.109803921568628</v>
      </c>
      <c r="F227">
        <v>0.03127208480565371</v>
      </c>
      <c r="G227">
        <v>-0.02062108702190069</v>
      </c>
      <c r="H227">
        <v>0.05</v>
      </c>
      <c r="I227">
        <v>0.05893129729593194</v>
      </c>
      <c r="J227" t="s">
        <v>776</v>
      </c>
      <c r="K227" t="s">
        <v>776</v>
      </c>
      <c r="L227">
        <v>6</v>
      </c>
      <c r="M227">
        <v>3.54</v>
      </c>
      <c r="N227">
        <v>0.59</v>
      </c>
      <c r="O227">
        <v>12</v>
      </c>
      <c r="P227">
        <v>0.05009123759249423</v>
      </c>
      <c r="Q227">
        <v>0.041057422741283</v>
      </c>
      <c r="R227" t="s">
        <v>779</v>
      </c>
      <c r="S227" t="s">
        <v>791</v>
      </c>
      <c r="T227">
        <v>21689.706045</v>
      </c>
      <c r="U227" s="2">
        <v>44498</v>
      </c>
      <c r="V227" t="s">
        <v>802</v>
      </c>
    </row>
    <row r="228" spans="1:22">
      <c r="A228" s="1" t="s">
        <v>248</v>
      </c>
      <c r="B228">
        <f>HYPERLINK("https://www.suredividend.com/sure-analysis-K/","Kellogg Co")</f>
        <v>0</v>
      </c>
      <c r="C228">
        <v>63.91</v>
      </c>
      <c r="D228">
        <v>62</v>
      </c>
      <c r="E228">
        <v>1.030806451612903</v>
      </c>
      <c r="F228">
        <v>0.03630104834924112</v>
      </c>
      <c r="G228">
        <v>-0.006049916828062551</v>
      </c>
      <c r="H228">
        <v>0.03</v>
      </c>
      <c r="I228">
        <v>0.05760237241307742</v>
      </c>
      <c r="J228" t="s">
        <v>776</v>
      </c>
      <c r="K228" t="s">
        <v>776</v>
      </c>
      <c r="L228">
        <v>4.1</v>
      </c>
      <c r="M228">
        <v>2.32</v>
      </c>
      <c r="N228">
        <v>0.5658536585365854</v>
      </c>
      <c r="O228">
        <v>17</v>
      </c>
      <c r="P228">
        <v>0.03003707999335203</v>
      </c>
      <c r="Q228">
        <v>-0.002327691640036</v>
      </c>
      <c r="R228" t="s">
        <v>779</v>
      </c>
      <c r="S228" t="s">
        <v>788</v>
      </c>
      <c r="T228">
        <v>21565.783606</v>
      </c>
      <c r="U228" s="2">
        <v>44436</v>
      </c>
      <c r="V228" t="s">
        <v>798</v>
      </c>
    </row>
    <row r="229" spans="1:22">
      <c r="A229" s="1" t="s">
        <v>249</v>
      </c>
      <c r="B229">
        <f>HYPERLINK("https://www.suredividend.com/sure-analysis-ORI/","Old Republic International Corp.")</f>
        <v>0</v>
      </c>
      <c r="C229">
        <v>25.8</v>
      </c>
      <c r="D229">
        <v>29</v>
      </c>
      <c r="E229">
        <v>0.8896551724137931</v>
      </c>
      <c r="F229">
        <v>0.03410852713178295</v>
      </c>
      <c r="G229">
        <v>0.02365982329484795</v>
      </c>
      <c r="H229">
        <v>0</v>
      </c>
      <c r="I229">
        <v>0.05735047814687655</v>
      </c>
      <c r="J229" t="s">
        <v>776</v>
      </c>
      <c r="K229" t="s">
        <v>776</v>
      </c>
      <c r="L229">
        <v>2.4</v>
      </c>
      <c r="M229">
        <v>0.88</v>
      </c>
      <c r="N229">
        <v>0.3666666666666667</v>
      </c>
      <c r="O229">
        <v>40</v>
      </c>
      <c r="P229">
        <v>0.04941452284458392</v>
      </c>
      <c r="Q229">
        <v>0.6567199503623671</v>
      </c>
      <c r="R229" t="s">
        <v>779</v>
      </c>
      <c r="S229" t="s">
        <v>789</v>
      </c>
      <c r="T229">
        <v>7951.526211</v>
      </c>
      <c r="U229" s="2">
        <v>44401</v>
      </c>
      <c r="V229" t="s">
        <v>798</v>
      </c>
    </row>
    <row r="230" spans="1:22">
      <c r="A230" s="1" t="s">
        <v>250</v>
      </c>
      <c r="B230">
        <f>HYPERLINK("https://www.suredividend.com/sure-analysis-SBUX/","Starbucks Corp.")</f>
        <v>0</v>
      </c>
      <c r="C230">
        <v>111.87</v>
      </c>
      <c r="D230">
        <v>92</v>
      </c>
      <c r="E230">
        <v>1.215978260869565</v>
      </c>
      <c r="F230">
        <v>0.0175203361044069</v>
      </c>
      <c r="G230">
        <v>-0.0383548671687477</v>
      </c>
      <c r="H230">
        <v>0.08</v>
      </c>
      <c r="I230">
        <v>0.05699451241729281</v>
      </c>
      <c r="J230" t="s">
        <v>776</v>
      </c>
      <c r="K230" t="s">
        <v>370</v>
      </c>
      <c r="L230">
        <v>4</v>
      </c>
      <c r="M230">
        <v>1.96</v>
      </c>
      <c r="N230">
        <v>0.49</v>
      </c>
      <c r="O230">
        <v>11</v>
      </c>
      <c r="P230">
        <v>0.0800087729241854</v>
      </c>
      <c r="Q230">
        <v>0.188434780758675</v>
      </c>
      <c r="R230" t="s">
        <v>779</v>
      </c>
      <c r="S230" t="s">
        <v>790</v>
      </c>
      <c r="T230">
        <v>131729.052</v>
      </c>
      <c r="U230" s="2">
        <v>44504</v>
      </c>
      <c r="V230" t="s">
        <v>800</v>
      </c>
    </row>
    <row r="231" spans="1:22">
      <c r="A231" s="1" t="s">
        <v>251</v>
      </c>
      <c r="B231">
        <f>HYPERLINK("https://www.suredividend.com/sure-analysis-DPZ/","Dominos Pizza Inc")</f>
        <v>0</v>
      </c>
      <c r="C231">
        <v>517.3200000000001</v>
      </c>
      <c r="D231">
        <v>370</v>
      </c>
      <c r="E231">
        <v>1.398162162162162</v>
      </c>
      <c r="F231">
        <v>0.007268228562591818</v>
      </c>
      <c r="G231">
        <v>-0.06483446873956777</v>
      </c>
      <c r="H231">
        <v>0.12</v>
      </c>
      <c r="I231">
        <v>0.0565388307958159</v>
      </c>
      <c r="J231" t="s">
        <v>776</v>
      </c>
      <c r="K231" t="s">
        <v>512</v>
      </c>
      <c r="L231">
        <v>13.9</v>
      </c>
      <c r="M231">
        <v>3.76</v>
      </c>
      <c r="N231">
        <v>0.2705035971223022</v>
      </c>
      <c r="O231">
        <v>8</v>
      </c>
      <c r="P231">
        <v>0.1480866941841668</v>
      </c>
      <c r="Q231">
        <v>0.328859790147331</v>
      </c>
      <c r="R231" t="s">
        <v>779</v>
      </c>
      <c r="S231" t="s">
        <v>790</v>
      </c>
      <c r="T231">
        <v>18677.332634</v>
      </c>
      <c r="U231" s="2">
        <v>44486</v>
      </c>
      <c r="V231" t="s">
        <v>802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49.03</v>
      </c>
      <c r="D232">
        <v>45</v>
      </c>
      <c r="E232">
        <v>1.089555555555556</v>
      </c>
      <c r="F232">
        <v>0.01529675708749745</v>
      </c>
      <c r="G232">
        <v>-0.01700768146973997</v>
      </c>
      <c r="H232">
        <v>0.06</v>
      </c>
      <c r="I232">
        <v>0.05617465048598502</v>
      </c>
      <c r="J232" t="s">
        <v>776</v>
      </c>
      <c r="K232" t="s">
        <v>512</v>
      </c>
      <c r="L232">
        <v>1.29</v>
      </c>
      <c r="M232">
        <v>0.75</v>
      </c>
      <c r="N232">
        <v>0.5813953488372093</v>
      </c>
      <c r="O232">
        <v>24</v>
      </c>
      <c r="P232">
        <v>0.03943186329943948</v>
      </c>
      <c r="Q232">
        <v>0.077283475488663</v>
      </c>
      <c r="R232" t="s">
        <v>779</v>
      </c>
      <c r="S232" t="s">
        <v>791</v>
      </c>
      <c r="T232">
        <v>641.208518</v>
      </c>
      <c r="U232" s="2">
        <v>44507</v>
      </c>
      <c r="V232" t="s">
        <v>794</v>
      </c>
    </row>
    <row r="233" spans="1:22">
      <c r="A233" s="1" t="s">
        <v>253</v>
      </c>
      <c r="B233">
        <f>HYPERLINK("https://www.suredividend.com/sure-analysis-CVS/","CVS Health Corp")</f>
        <v>0</v>
      </c>
      <c r="C233">
        <v>93.48999999999999</v>
      </c>
      <c r="D233">
        <v>87</v>
      </c>
      <c r="E233">
        <v>1.074597701149425</v>
      </c>
      <c r="F233">
        <v>0.02139266231682533</v>
      </c>
      <c r="G233">
        <v>-0.01428624120666444</v>
      </c>
      <c r="H233">
        <v>0.05</v>
      </c>
      <c r="I233">
        <v>0.05576804024261528</v>
      </c>
      <c r="J233" t="s">
        <v>776</v>
      </c>
      <c r="K233" t="s">
        <v>776</v>
      </c>
      <c r="L233">
        <v>7.95</v>
      </c>
      <c r="M233">
        <v>2</v>
      </c>
      <c r="N233">
        <v>0.2515723270440252</v>
      </c>
      <c r="O233">
        <v>0</v>
      </c>
      <c r="P233">
        <v>0.04978904632428516</v>
      </c>
      <c r="Q233">
        <v>0.357801291947496</v>
      </c>
      <c r="R233" t="s">
        <v>779</v>
      </c>
      <c r="S233" t="s">
        <v>784</v>
      </c>
      <c r="T233">
        <v>124111.914931</v>
      </c>
      <c r="U233" s="2">
        <v>44503</v>
      </c>
      <c r="V233" t="s">
        <v>795</v>
      </c>
    </row>
    <row r="234" spans="1:22">
      <c r="A234" s="1" t="s">
        <v>254</v>
      </c>
      <c r="B234">
        <f>HYPERLINK("https://www.suredividend.com/sure-analysis-KMB/","Kimberly-Clark Corp.")</f>
        <v>0</v>
      </c>
      <c r="C234">
        <v>134.78</v>
      </c>
      <c r="D234">
        <v>112</v>
      </c>
      <c r="E234">
        <v>1.203392857142857</v>
      </c>
      <c r="F234">
        <v>0.03383291289508829</v>
      </c>
      <c r="G234">
        <v>-0.0363518008746827</v>
      </c>
      <c r="H234">
        <v>0.06</v>
      </c>
      <c r="I234">
        <v>0.05423757272943552</v>
      </c>
      <c r="J234" t="s">
        <v>776</v>
      </c>
      <c r="K234" t="s">
        <v>775</v>
      </c>
      <c r="L234">
        <v>6.2</v>
      </c>
      <c r="M234">
        <v>4.56</v>
      </c>
      <c r="N234">
        <v>0.7354838709677418</v>
      </c>
      <c r="O234">
        <v>49</v>
      </c>
      <c r="P234">
        <v>0.03932663634209943</v>
      </c>
      <c r="Q234">
        <v>-0.013424964746758</v>
      </c>
      <c r="R234" t="s">
        <v>779</v>
      </c>
      <c r="S234" t="s">
        <v>788</v>
      </c>
      <c r="T234">
        <v>45089.736243</v>
      </c>
      <c r="U234" s="2">
        <v>44499</v>
      </c>
      <c r="V234" t="s">
        <v>798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84.11</v>
      </c>
      <c r="D235">
        <v>81</v>
      </c>
      <c r="E235">
        <v>1.038395061728395</v>
      </c>
      <c r="F235">
        <v>0.02116276304838902</v>
      </c>
      <c r="G235">
        <v>-0.00750694334650559</v>
      </c>
      <c r="H235">
        <v>0.04</v>
      </c>
      <c r="I235">
        <v>0.05355814898643585</v>
      </c>
      <c r="J235" t="s">
        <v>776</v>
      </c>
      <c r="K235" t="s">
        <v>776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0.335422311071363</v>
      </c>
      <c r="R235" t="s">
        <v>779</v>
      </c>
      <c r="S235" t="s">
        <v>788</v>
      </c>
      <c r="T235">
        <v>29578.76728</v>
      </c>
      <c r="U235" s="2">
        <v>44515</v>
      </c>
      <c r="V235" t="s">
        <v>800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18.64</v>
      </c>
      <c r="D236">
        <v>18</v>
      </c>
      <c r="E236">
        <v>1.035555555555556</v>
      </c>
      <c r="F236">
        <v>0.02145922746781116</v>
      </c>
      <c r="G236">
        <v>-0.006963253688056281</v>
      </c>
      <c r="H236">
        <v>0.04</v>
      </c>
      <c r="I236">
        <v>0.05351564008284604</v>
      </c>
      <c r="J236" t="s">
        <v>776</v>
      </c>
      <c r="K236" t="s">
        <v>370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0.3494850359226011</v>
      </c>
      <c r="R236" t="s">
        <v>779</v>
      </c>
      <c r="S236" t="s">
        <v>783</v>
      </c>
      <c r="T236">
        <v>40893.290635</v>
      </c>
      <c r="U236" s="2">
        <v>44494</v>
      </c>
      <c r="V236" t="s">
        <v>802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43.08</v>
      </c>
      <c r="D237">
        <v>44.6</v>
      </c>
      <c r="E237">
        <v>0.9659192825112107</v>
      </c>
      <c r="F237">
        <v>0.02483751160631384</v>
      </c>
      <c r="G237">
        <v>0.00695910415486356</v>
      </c>
      <c r="H237">
        <v>0.023</v>
      </c>
      <c r="I237">
        <v>0.05329083100118126</v>
      </c>
      <c r="J237" t="s">
        <v>776</v>
      </c>
      <c r="K237" t="s">
        <v>776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0.128371650680307</v>
      </c>
      <c r="R237" t="s">
        <v>779</v>
      </c>
      <c r="S237" t="s">
        <v>791</v>
      </c>
      <c r="T237">
        <v>366.141749</v>
      </c>
      <c r="U237" s="2">
        <v>44509</v>
      </c>
      <c r="V237" t="s">
        <v>804</v>
      </c>
    </row>
    <row r="238" spans="1:22">
      <c r="A238" s="1" t="s">
        <v>258</v>
      </c>
      <c r="B238">
        <f>HYPERLINK("https://www.suredividend.com/sure-analysis-RBA/","Ritchie Bros Auctioneers Inc")</f>
        <v>0</v>
      </c>
      <c r="C238">
        <v>71.55</v>
      </c>
      <c r="D238">
        <v>53</v>
      </c>
      <c r="E238">
        <v>1.35</v>
      </c>
      <c r="F238">
        <v>0.01397624039133473</v>
      </c>
      <c r="G238">
        <v>-0.05825516650174434</v>
      </c>
      <c r="H238">
        <v>0.1</v>
      </c>
      <c r="I238">
        <v>0.05172672946945545</v>
      </c>
      <c r="J238" t="s">
        <v>776</v>
      </c>
      <c r="K238" t="s">
        <v>512</v>
      </c>
      <c r="L238">
        <v>1.6</v>
      </c>
      <c r="M238">
        <v>1</v>
      </c>
      <c r="N238">
        <v>0.625</v>
      </c>
      <c r="O238">
        <v>17</v>
      </c>
      <c r="P238">
        <v>0.09993032380125255</v>
      </c>
      <c r="Q238">
        <v>0.12544092584519</v>
      </c>
      <c r="R238" t="s">
        <v>779</v>
      </c>
      <c r="S238" t="s">
        <v>786</v>
      </c>
      <c r="T238">
        <v>7843.71953</v>
      </c>
      <c r="U238" s="2">
        <v>44515</v>
      </c>
      <c r="V238" t="s">
        <v>794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116.82</v>
      </c>
      <c r="D239">
        <v>122</v>
      </c>
      <c r="E239">
        <v>0.9575409836065574</v>
      </c>
      <c r="F239">
        <v>0.04588255435713064</v>
      </c>
      <c r="G239">
        <v>0.008715108568581265</v>
      </c>
      <c r="H239">
        <v>0</v>
      </c>
      <c r="I239">
        <v>0.05059172208459373</v>
      </c>
      <c r="J239" t="s">
        <v>776</v>
      </c>
      <c r="K239" t="s">
        <v>775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0.432151763202864</v>
      </c>
      <c r="R239" t="s">
        <v>779</v>
      </c>
      <c r="S239" t="s">
        <v>792</v>
      </c>
      <c r="T239">
        <v>220199.562527</v>
      </c>
      <c r="U239" s="2">
        <v>44501</v>
      </c>
      <c r="V239" t="s">
        <v>802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211.52</v>
      </c>
      <c r="D240">
        <v>191</v>
      </c>
      <c r="E240">
        <v>1.107434554973822</v>
      </c>
      <c r="F240">
        <v>0.01928895612708018</v>
      </c>
      <c r="G240">
        <v>-0.02020236714071366</v>
      </c>
      <c r="H240">
        <v>0.05</v>
      </c>
      <c r="I240">
        <v>0.04876205619650142</v>
      </c>
      <c r="J240" t="s">
        <v>776</v>
      </c>
      <c r="K240" t="s">
        <v>370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0.324045533900447</v>
      </c>
      <c r="R240" t="s">
        <v>779</v>
      </c>
      <c r="S240" t="s">
        <v>786</v>
      </c>
      <c r="T240">
        <v>184281.436</v>
      </c>
      <c r="U240" s="2">
        <v>44495</v>
      </c>
      <c r="V240" t="s">
        <v>800</v>
      </c>
    </row>
    <row r="241" spans="1:22">
      <c r="A241" s="1" t="s">
        <v>261</v>
      </c>
      <c r="B241">
        <f>HYPERLINK("https://www.suredividend.com/sure-analysis-WEYS/","Weyco Group, Inc")</f>
        <v>0</v>
      </c>
      <c r="C241">
        <v>23.5</v>
      </c>
      <c r="D241">
        <v>23</v>
      </c>
      <c r="E241">
        <v>1.021739130434783</v>
      </c>
      <c r="F241">
        <v>0.0425531914893617</v>
      </c>
      <c r="G241">
        <v>-0.004292003955326806</v>
      </c>
      <c r="H241">
        <v>0.01</v>
      </c>
      <c r="I241">
        <v>0.0487586563521667</v>
      </c>
      <c r="J241" t="s">
        <v>776</v>
      </c>
      <c r="K241" t="s">
        <v>775</v>
      </c>
      <c r="L241">
        <v>1.5</v>
      </c>
      <c r="M241">
        <v>1</v>
      </c>
      <c r="N241">
        <v>0.6666666666666666</v>
      </c>
      <c r="O241">
        <v>39</v>
      </c>
      <c r="P241">
        <v>0.04057159395880827</v>
      </c>
      <c r="Q241">
        <v>0.4123266414508771</v>
      </c>
      <c r="R241" t="s">
        <v>779</v>
      </c>
      <c r="S241" t="s">
        <v>790</v>
      </c>
      <c r="T241">
        <v>227.184064</v>
      </c>
      <c r="U241" s="2">
        <v>44509</v>
      </c>
      <c r="V241" t="s">
        <v>799</v>
      </c>
    </row>
    <row r="242" spans="1:22">
      <c r="A242" s="1" t="s">
        <v>262</v>
      </c>
      <c r="B242">
        <f>HYPERLINK("https://www.suredividend.com/sure-analysis-SJM/","J.M. Smucker Co.")</f>
        <v>0</v>
      </c>
      <c r="C242">
        <v>128.92</v>
      </c>
      <c r="D242">
        <v>110</v>
      </c>
      <c r="E242">
        <v>1.172</v>
      </c>
      <c r="F242">
        <v>0.03071672354948806</v>
      </c>
      <c r="G242">
        <v>-0.0312438386494035</v>
      </c>
      <c r="H242">
        <v>0.05</v>
      </c>
      <c r="I242">
        <v>0.04764771980889737</v>
      </c>
      <c r="J242" t="s">
        <v>776</v>
      </c>
      <c r="K242" t="s">
        <v>776</v>
      </c>
      <c r="L242">
        <v>6.9</v>
      </c>
      <c r="M242">
        <v>3.96</v>
      </c>
      <c r="N242">
        <v>0.5739130434782609</v>
      </c>
      <c r="O242">
        <v>24</v>
      </c>
      <c r="P242">
        <v>0.04008868188296377</v>
      </c>
      <c r="Q242">
        <v>0.09954279436127401</v>
      </c>
      <c r="R242" t="s">
        <v>779</v>
      </c>
      <c r="S242" t="s">
        <v>788</v>
      </c>
      <c r="T242">
        <v>13772.368019</v>
      </c>
      <c r="U242" s="2">
        <v>44435</v>
      </c>
      <c r="V242" t="s">
        <v>800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169.88</v>
      </c>
      <c r="D243">
        <v>128</v>
      </c>
      <c r="E243">
        <v>1.3271875</v>
      </c>
      <c r="F243">
        <v>0.02731339769248882</v>
      </c>
      <c r="G243">
        <v>-0.05503974285604318</v>
      </c>
      <c r="H243">
        <v>0.08</v>
      </c>
      <c r="I243">
        <v>0.04747910925551202</v>
      </c>
      <c r="J243" t="s">
        <v>776</v>
      </c>
      <c r="K243" t="s">
        <v>776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-0.179418446677272</v>
      </c>
      <c r="R243" t="s">
        <v>779</v>
      </c>
      <c r="S243" t="s">
        <v>788</v>
      </c>
      <c r="T243">
        <v>20400.133667</v>
      </c>
      <c r="U243" s="2">
        <v>44415</v>
      </c>
      <c r="V243" t="s">
        <v>798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57.21</v>
      </c>
      <c r="D244">
        <v>57</v>
      </c>
      <c r="E244">
        <v>1.003684210526316</v>
      </c>
      <c r="F244">
        <v>0.02936549554273728</v>
      </c>
      <c r="G244">
        <v>-0.0007352176841101121</v>
      </c>
      <c r="H244">
        <v>0.02</v>
      </c>
      <c r="I244">
        <v>0.0465840262101771</v>
      </c>
      <c r="J244" t="s">
        <v>776</v>
      </c>
      <c r="K244" t="s">
        <v>776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0.022958785995731</v>
      </c>
      <c r="R244" t="s">
        <v>779</v>
      </c>
      <c r="S244" t="s">
        <v>789</v>
      </c>
      <c r="T244">
        <v>1533.786106</v>
      </c>
      <c r="U244" s="2">
        <v>44490</v>
      </c>
      <c r="V244" t="s">
        <v>795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85.61</v>
      </c>
      <c r="D245">
        <v>74</v>
      </c>
      <c r="E245">
        <v>1.156891891891892</v>
      </c>
      <c r="F245">
        <v>0.02464665342833781</v>
      </c>
      <c r="G245">
        <v>-0.02872671284606676</v>
      </c>
      <c r="H245">
        <v>0.05</v>
      </c>
      <c r="I245">
        <v>0.04569833260452505</v>
      </c>
      <c r="J245" t="s">
        <v>776</v>
      </c>
      <c r="K245" t="s">
        <v>370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0.173445470839652</v>
      </c>
      <c r="R245" t="s">
        <v>779</v>
      </c>
      <c r="S245" t="s">
        <v>786</v>
      </c>
      <c r="T245">
        <v>144687</v>
      </c>
      <c r="U245" s="2">
        <v>44513</v>
      </c>
      <c r="V245" t="s">
        <v>797</v>
      </c>
    </row>
    <row r="246" spans="1:22">
      <c r="A246" s="1" t="s">
        <v>266</v>
      </c>
      <c r="B246">
        <f>HYPERLINK("https://www.suredividend.com/sure-analysis-ETR/","Entergy Corp.")</f>
        <v>0</v>
      </c>
      <c r="C246">
        <v>105.04</v>
      </c>
      <c r="D246">
        <v>90</v>
      </c>
      <c r="E246">
        <v>1.167111111111111</v>
      </c>
      <c r="F246">
        <v>0.03846153846153846</v>
      </c>
      <c r="G246">
        <v>-0.03043359437649196</v>
      </c>
      <c r="H246">
        <v>0.04</v>
      </c>
      <c r="I246">
        <v>0.0455800330323044</v>
      </c>
      <c r="J246" t="s">
        <v>776</v>
      </c>
      <c r="K246" t="s">
        <v>775</v>
      </c>
      <c r="L246">
        <v>6</v>
      </c>
      <c r="M246">
        <v>4.04</v>
      </c>
      <c r="N246">
        <v>0.6733333333333333</v>
      </c>
      <c r="O246">
        <v>28</v>
      </c>
      <c r="P246">
        <v>0.02496011802205444</v>
      </c>
      <c r="Q246">
        <v>-0.03404974643805801</v>
      </c>
      <c r="R246" t="s">
        <v>779</v>
      </c>
      <c r="S246" t="s">
        <v>791</v>
      </c>
      <c r="T246">
        <v>20419.699877</v>
      </c>
      <c r="U246" s="2">
        <v>44510</v>
      </c>
      <c r="V246" t="s">
        <v>797</v>
      </c>
    </row>
    <row r="247" spans="1:22">
      <c r="A247" s="1" t="s">
        <v>267</v>
      </c>
      <c r="B247">
        <f>HYPERLINK("https://www.suredividend.com/sure-analysis-SPTN/","SpartanNash Co")</f>
        <v>0</v>
      </c>
      <c r="C247">
        <v>25.11</v>
      </c>
      <c r="D247">
        <v>21</v>
      </c>
      <c r="E247">
        <v>1.195714285714286</v>
      </c>
      <c r="F247">
        <v>0.03185981680605337</v>
      </c>
      <c r="G247">
        <v>-0.03511730738480945</v>
      </c>
      <c r="H247">
        <v>0.05</v>
      </c>
      <c r="I247">
        <v>0.04504801998592178</v>
      </c>
      <c r="J247" t="s">
        <v>776</v>
      </c>
      <c r="K247" t="s">
        <v>776</v>
      </c>
      <c r="L247">
        <v>1.78</v>
      </c>
      <c r="M247">
        <v>0.8</v>
      </c>
      <c r="N247">
        <v>0.4494382022471911</v>
      </c>
      <c r="O247">
        <v>10</v>
      </c>
      <c r="P247">
        <v>0.03928904495613805</v>
      </c>
      <c r="Q247">
        <v>0.419145543520096</v>
      </c>
      <c r="R247" t="s">
        <v>779</v>
      </c>
      <c r="S247" t="s">
        <v>788</v>
      </c>
      <c r="T247">
        <v>927.566207</v>
      </c>
      <c r="U247" s="2">
        <v>44513</v>
      </c>
      <c r="V247" t="s">
        <v>801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135.26</v>
      </c>
      <c r="D248">
        <v>107</v>
      </c>
      <c r="E248">
        <v>1.26411214953271</v>
      </c>
      <c r="F248">
        <v>0.01360343043028242</v>
      </c>
      <c r="G248">
        <v>-0.04579238319867951</v>
      </c>
      <c r="H248">
        <v>0.08</v>
      </c>
      <c r="I248">
        <v>0.04476944512991898</v>
      </c>
      <c r="J248" t="s">
        <v>776</v>
      </c>
      <c r="K248" t="s">
        <v>512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0.360657798788</v>
      </c>
      <c r="R248" t="s">
        <v>779</v>
      </c>
      <c r="S248" t="s">
        <v>786</v>
      </c>
      <c r="T248">
        <v>42896.583868</v>
      </c>
      <c r="U248" s="2">
        <v>44502</v>
      </c>
      <c r="V248" t="s">
        <v>794</v>
      </c>
    </row>
    <row r="249" spans="1:22">
      <c r="A249" s="1" t="s">
        <v>269</v>
      </c>
      <c r="B249">
        <f>HYPERLINK("https://www.suredividend.com/sure-analysis-OTTR/","Otter Tail Corporation")</f>
        <v>0</v>
      </c>
      <c r="C249">
        <v>66.33</v>
      </c>
      <c r="D249">
        <v>72</v>
      </c>
      <c r="E249">
        <v>0.92125</v>
      </c>
      <c r="F249">
        <v>0.0235187697874265</v>
      </c>
      <c r="G249">
        <v>0.01654006411362841</v>
      </c>
      <c r="H249">
        <v>0.005</v>
      </c>
      <c r="I249">
        <v>0.04429821451417415</v>
      </c>
      <c r="J249" t="s">
        <v>776</v>
      </c>
      <c r="K249" t="s">
        <v>370</v>
      </c>
      <c r="L249">
        <v>3.61</v>
      </c>
      <c r="M249">
        <v>1.56</v>
      </c>
      <c r="N249">
        <v>0.4321329639889197</v>
      </c>
      <c r="O249">
        <v>8</v>
      </c>
      <c r="P249">
        <v>0.03131030647754507</v>
      </c>
      <c r="Q249">
        <v>0.6787960648334811</v>
      </c>
      <c r="R249" t="s">
        <v>779</v>
      </c>
      <c r="S249" t="s">
        <v>791</v>
      </c>
      <c r="T249">
        <v>2767.393734</v>
      </c>
      <c r="U249" s="2">
        <v>44506</v>
      </c>
      <c r="V249" t="s">
        <v>804</v>
      </c>
    </row>
    <row r="250" spans="1:22">
      <c r="A250" s="1" t="s">
        <v>270</v>
      </c>
      <c r="B250">
        <f>HYPERLINK("https://www.suredividend.com/sure-analysis-ICE/","Intercontinental Exchange Inc")</f>
        <v>0</v>
      </c>
      <c r="C250">
        <v>135.29</v>
      </c>
      <c r="D250">
        <v>103</v>
      </c>
      <c r="E250">
        <v>1.313495145631068</v>
      </c>
      <c r="F250">
        <v>0.00975681868578609</v>
      </c>
      <c r="G250">
        <v>-0.05307778440907973</v>
      </c>
      <c r="H250">
        <v>0.09</v>
      </c>
      <c r="I250">
        <v>0.04411092433751884</v>
      </c>
      <c r="J250" t="s">
        <v>776</v>
      </c>
      <c r="K250" t="s">
        <v>512</v>
      </c>
      <c r="L250">
        <v>4.92</v>
      </c>
      <c r="M250">
        <v>1.32</v>
      </c>
      <c r="N250">
        <v>0.2682926829268293</v>
      </c>
      <c r="O250">
        <v>8</v>
      </c>
      <c r="P250">
        <v>0.1203569122523565</v>
      </c>
      <c r="Q250">
        <v>0.377253982166652</v>
      </c>
      <c r="R250" t="s">
        <v>779</v>
      </c>
      <c r="S250" t="s">
        <v>789</v>
      </c>
      <c r="T250">
        <v>76222.97261700001</v>
      </c>
      <c r="U250" s="2">
        <v>44430</v>
      </c>
      <c r="V250" t="s">
        <v>799</v>
      </c>
    </row>
    <row r="251" spans="1:22">
      <c r="A251" s="1" t="s">
        <v>271</v>
      </c>
      <c r="B251">
        <f>HYPERLINK("https://www.suredividend.com/sure-analysis-CTSH/","Cognizant Technology Solutions Corp.")</f>
        <v>0</v>
      </c>
      <c r="C251">
        <v>81.95</v>
      </c>
      <c r="D251">
        <v>65</v>
      </c>
      <c r="E251">
        <v>1.260769230769231</v>
      </c>
      <c r="F251">
        <v>0.01171446003660769</v>
      </c>
      <c r="G251">
        <v>-0.04528690436731986</v>
      </c>
      <c r="H251">
        <v>0.08</v>
      </c>
      <c r="I251">
        <v>0.04361720190522145</v>
      </c>
      <c r="J251" t="s">
        <v>776</v>
      </c>
      <c r="K251" t="s">
        <v>512</v>
      </c>
      <c r="L251">
        <v>4.05</v>
      </c>
      <c r="M251">
        <v>0.96</v>
      </c>
      <c r="N251">
        <v>0.237037037037037</v>
      </c>
      <c r="O251">
        <v>2</v>
      </c>
      <c r="P251">
        <v>0.07214502590085092</v>
      </c>
      <c r="Q251">
        <v>0.07545924786069101</v>
      </c>
      <c r="R251" t="s">
        <v>779</v>
      </c>
      <c r="S251" t="s">
        <v>785</v>
      </c>
      <c r="T251">
        <v>43060.137153</v>
      </c>
      <c r="U251" s="2">
        <v>44504</v>
      </c>
      <c r="V251" t="s">
        <v>802</v>
      </c>
    </row>
    <row r="252" spans="1:22">
      <c r="A252" s="1" t="s">
        <v>272</v>
      </c>
      <c r="B252">
        <f>HYPERLINK("https://www.suredividend.com/sure-analysis-CONE/","CyrusOne Inc")</f>
        <v>0</v>
      </c>
      <c r="C252">
        <v>89.45</v>
      </c>
      <c r="D252">
        <v>73</v>
      </c>
      <c r="E252">
        <v>1.225342465753425</v>
      </c>
      <c r="F252">
        <v>0.02325321408608161</v>
      </c>
      <c r="G252">
        <v>-0.03982918087568832</v>
      </c>
      <c r="H252">
        <v>0.06</v>
      </c>
      <c r="I252">
        <v>0.04077113247486874</v>
      </c>
      <c r="J252" t="s">
        <v>776</v>
      </c>
      <c r="K252" t="s">
        <v>370</v>
      </c>
      <c r="L252">
        <v>4.06</v>
      </c>
      <c r="M252">
        <v>2.08</v>
      </c>
      <c r="N252">
        <v>0.5123152709359606</v>
      </c>
      <c r="O252">
        <v>8</v>
      </c>
      <c r="P252">
        <v>0.03496752704080697</v>
      </c>
      <c r="Q252">
        <v>0.208000938692362</v>
      </c>
      <c r="R252" t="s">
        <v>781</v>
      </c>
      <c r="S252" t="s">
        <v>793</v>
      </c>
      <c r="T252">
        <v>10844.653557</v>
      </c>
      <c r="U252" s="2">
        <v>44500</v>
      </c>
      <c r="V252" t="s">
        <v>794</v>
      </c>
    </row>
    <row r="253" spans="1:22">
      <c r="A253" s="1" t="s">
        <v>273</v>
      </c>
      <c r="B253">
        <f>HYPERLINK("https://www.suredividend.com/sure-analysis-ED/","Consolidated Edison, Inc.")</f>
        <v>0</v>
      </c>
      <c r="C253">
        <v>77.995</v>
      </c>
      <c r="D253">
        <v>65</v>
      </c>
      <c r="E253">
        <v>1.199923076923077</v>
      </c>
      <c r="F253">
        <v>0.03974613757292134</v>
      </c>
      <c r="G253">
        <v>-0.03579513407955137</v>
      </c>
      <c r="H253">
        <v>0.035</v>
      </c>
      <c r="I253">
        <v>0.03891711024659728</v>
      </c>
      <c r="J253" t="s">
        <v>776</v>
      </c>
      <c r="K253" t="s">
        <v>775</v>
      </c>
      <c r="L253">
        <v>4.25</v>
      </c>
      <c r="M253">
        <v>3.1</v>
      </c>
      <c r="N253">
        <v>0.7294117647058824</v>
      </c>
      <c r="O253">
        <v>47</v>
      </c>
      <c r="P253">
        <v>0.03489723107282572</v>
      </c>
      <c r="Q253">
        <v>-0.026937988895867</v>
      </c>
      <c r="R253" t="s">
        <v>779</v>
      </c>
      <c r="S253" t="s">
        <v>791</v>
      </c>
      <c r="T253">
        <v>27263.406487</v>
      </c>
      <c r="U253" s="2">
        <v>44507</v>
      </c>
      <c r="V253" t="s">
        <v>795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87.3</v>
      </c>
      <c r="D254">
        <v>72.8</v>
      </c>
      <c r="E254">
        <v>1.199175824175824</v>
      </c>
      <c r="F254">
        <v>0.0313860252004582</v>
      </c>
      <c r="G254">
        <v>-0.03567499736601154</v>
      </c>
      <c r="H254">
        <v>0.039</v>
      </c>
      <c r="I254">
        <v>0.03847453309472448</v>
      </c>
      <c r="J254" t="s">
        <v>776</v>
      </c>
      <c r="K254" t="s">
        <v>776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0.363855758360959</v>
      </c>
      <c r="R254" t="s">
        <v>780</v>
      </c>
      <c r="S254" t="s">
        <v>791</v>
      </c>
      <c r="T254">
        <v>6581.606718</v>
      </c>
      <c r="U254" s="2">
        <v>44494</v>
      </c>
      <c r="V254" t="s">
        <v>804</v>
      </c>
    </row>
    <row r="255" spans="1:22">
      <c r="A255" s="1" t="s">
        <v>275</v>
      </c>
      <c r="B255">
        <f>HYPERLINK("https://www.suredividend.com/sure-analysis-AMT/","American Tower Corp.")</f>
        <v>0</v>
      </c>
      <c r="C255">
        <v>260.5</v>
      </c>
      <c r="D255">
        <v>209</v>
      </c>
      <c r="E255">
        <v>1.246411483253588</v>
      </c>
      <c r="F255">
        <v>0.02011516314779271</v>
      </c>
      <c r="G255">
        <v>-0.04309745047894253</v>
      </c>
      <c r="H255">
        <v>0.06</v>
      </c>
      <c r="I255">
        <v>0.0360690280256577</v>
      </c>
      <c r="J255" t="s">
        <v>776</v>
      </c>
      <c r="K255" t="s">
        <v>370</v>
      </c>
      <c r="L255">
        <v>9.5</v>
      </c>
      <c r="M255">
        <v>5.24</v>
      </c>
      <c r="N255">
        <v>0.5515789473684211</v>
      </c>
      <c r="O255">
        <v>9</v>
      </c>
      <c r="P255">
        <v>0.0599303946492904</v>
      </c>
      <c r="Q255">
        <v>0.142159146717709</v>
      </c>
      <c r="R255" t="s">
        <v>781</v>
      </c>
      <c r="S255" t="s">
        <v>793</v>
      </c>
      <c r="T255">
        <v>123918.066954</v>
      </c>
      <c r="U255" s="2">
        <v>44502</v>
      </c>
      <c r="V255" t="s">
        <v>800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348.07</v>
      </c>
      <c r="D256">
        <v>244</v>
      </c>
      <c r="E256">
        <v>1.426516393442623</v>
      </c>
      <c r="F256">
        <v>0.006665325940184446</v>
      </c>
      <c r="G256">
        <v>-0.06858195702561487</v>
      </c>
      <c r="H256">
        <v>0.1</v>
      </c>
      <c r="I256">
        <v>0.03513860606230867</v>
      </c>
      <c r="J256" t="s">
        <v>776</v>
      </c>
      <c r="K256" t="s">
        <v>512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0.139435602017885</v>
      </c>
      <c r="R256" t="s">
        <v>779</v>
      </c>
      <c r="S256" t="s">
        <v>785</v>
      </c>
      <c r="T256">
        <v>37661.190194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HYPERLINK("https://www.suredividend.com/sure-analysis-RTX/","Raytheon Technologies Corporation")</f>
        <v>0</v>
      </c>
      <c r="C257">
        <v>89.34999999999999</v>
      </c>
      <c r="D257">
        <v>66</v>
      </c>
      <c r="E257">
        <v>1.353787878787879</v>
      </c>
      <c r="F257">
        <v>0.02283156127588137</v>
      </c>
      <c r="G257">
        <v>-0.0587827549750215</v>
      </c>
      <c r="H257">
        <v>0.07000000000000001</v>
      </c>
      <c r="I257">
        <v>0.03303812626252256</v>
      </c>
      <c r="J257" t="s">
        <v>776</v>
      </c>
      <c r="K257" t="s">
        <v>776</v>
      </c>
      <c r="L257">
        <v>4.15</v>
      </c>
      <c r="M257">
        <v>2.04</v>
      </c>
      <c r="N257">
        <v>0.4915662650602409</v>
      </c>
      <c r="O257">
        <v>27</v>
      </c>
      <c r="P257">
        <v>0.06990981876632385</v>
      </c>
      <c r="Q257">
        <v>0.367876604784335</v>
      </c>
      <c r="R257" t="s">
        <v>779</v>
      </c>
      <c r="S257" t="s">
        <v>786</v>
      </c>
      <c r="T257">
        <v>133003.670154</v>
      </c>
      <c r="U257" s="2">
        <v>44497</v>
      </c>
      <c r="V257" t="s">
        <v>800</v>
      </c>
    </row>
    <row r="258" spans="1:22">
      <c r="A258" s="1" t="s">
        <v>278</v>
      </c>
      <c r="B258">
        <f>HYPERLINK("https://www.suredividend.com/sure-analysis-NSC/","Norfolk Southern Corp.")</f>
        <v>0</v>
      </c>
      <c r="C258">
        <v>275.4</v>
      </c>
      <c r="D258">
        <v>216</v>
      </c>
      <c r="E258">
        <v>1.275</v>
      </c>
      <c r="F258">
        <v>0.01583151779230211</v>
      </c>
      <c r="G258">
        <v>-0.04742766796683173</v>
      </c>
      <c r="H258">
        <v>0.065</v>
      </c>
      <c r="I258">
        <v>0.03276569923573747</v>
      </c>
      <c r="J258" t="s">
        <v>776</v>
      </c>
      <c r="K258" t="s">
        <v>370</v>
      </c>
      <c r="L258">
        <v>12</v>
      </c>
      <c r="M258">
        <v>4.36</v>
      </c>
      <c r="N258">
        <v>0.3633333333333333</v>
      </c>
      <c r="O258">
        <v>5</v>
      </c>
      <c r="P258">
        <v>0.0801257210213755</v>
      </c>
      <c r="Q258">
        <v>0.169921566563141</v>
      </c>
      <c r="R258" t="s">
        <v>779</v>
      </c>
      <c r="S258" t="s">
        <v>786</v>
      </c>
      <c r="T258">
        <v>69995.72394500001</v>
      </c>
      <c r="U258" s="2">
        <v>44503</v>
      </c>
      <c r="V258" t="s">
        <v>797</v>
      </c>
    </row>
    <row r="259" spans="1:22">
      <c r="A259" s="1" t="s">
        <v>279</v>
      </c>
      <c r="B259">
        <f>HYPERLINK("https://www.suredividend.com/sure-analysis-PEG/","Public Service Enterprise Group Inc.")</f>
        <v>0</v>
      </c>
      <c r="C259">
        <v>63.34</v>
      </c>
      <c r="D259">
        <v>54</v>
      </c>
      <c r="E259">
        <v>1.172962962962963</v>
      </c>
      <c r="F259">
        <v>0.0322071360909378</v>
      </c>
      <c r="G259">
        <v>-0.03140295412498895</v>
      </c>
      <c r="H259">
        <v>0.03</v>
      </c>
      <c r="I259">
        <v>0.03183948618367682</v>
      </c>
      <c r="J259" t="s">
        <v>776</v>
      </c>
      <c r="K259" t="s">
        <v>776</v>
      </c>
      <c r="L259">
        <v>3.63</v>
      </c>
      <c r="M259">
        <v>2.04</v>
      </c>
      <c r="N259">
        <v>0.5619834710743802</v>
      </c>
      <c r="O259">
        <v>9</v>
      </c>
      <c r="P259">
        <v>0.0398346919425614</v>
      </c>
      <c r="Q259">
        <v>0.07463316065221201</v>
      </c>
      <c r="R259" t="s">
        <v>779</v>
      </c>
      <c r="S259" t="s">
        <v>791</v>
      </c>
      <c r="T259">
        <v>31431.726566</v>
      </c>
      <c r="U259" s="2">
        <v>44513</v>
      </c>
      <c r="V259" t="s">
        <v>796</v>
      </c>
    </row>
    <row r="260" spans="1:22">
      <c r="A260" s="1" t="s">
        <v>280</v>
      </c>
      <c r="B260">
        <f>HYPERLINK("https://www.suredividend.com/sure-analysis-XEL/","Xcel Energy, Inc.")</f>
        <v>0</v>
      </c>
      <c r="C260">
        <v>64.31</v>
      </c>
      <c r="D260">
        <v>53</v>
      </c>
      <c r="E260">
        <v>1.213396226415094</v>
      </c>
      <c r="F260">
        <v>0.0284559166537086</v>
      </c>
      <c r="G260">
        <v>-0.03794595043808546</v>
      </c>
      <c r="H260">
        <v>0.04</v>
      </c>
      <c r="I260">
        <v>0.03068456821016907</v>
      </c>
      <c r="J260" t="s">
        <v>776</v>
      </c>
      <c r="K260" t="s">
        <v>776</v>
      </c>
      <c r="L260">
        <v>2.96</v>
      </c>
      <c r="M260">
        <v>1.83</v>
      </c>
      <c r="N260">
        <v>0.6182432432432433</v>
      </c>
      <c r="O260">
        <v>18</v>
      </c>
      <c r="P260">
        <v>0.04032911905890546</v>
      </c>
      <c r="Q260">
        <v>-0.124083742755618</v>
      </c>
      <c r="R260" t="s">
        <v>779</v>
      </c>
      <c r="S260" t="s">
        <v>791</v>
      </c>
      <c r="T260">
        <v>34006.588734</v>
      </c>
      <c r="U260" s="2">
        <v>44502</v>
      </c>
      <c r="V260" t="s">
        <v>800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481.23</v>
      </c>
      <c r="D261">
        <v>400</v>
      </c>
      <c r="E261">
        <v>1.203075</v>
      </c>
      <c r="F261">
        <v>0.01080564387091412</v>
      </c>
      <c r="G261">
        <v>-0.0363008863268951</v>
      </c>
      <c r="H261">
        <v>0.055</v>
      </c>
      <c r="I261">
        <v>0.02817900076189761</v>
      </c>
      <c r="J261" t="s">
        <v>776</v>
      </c>
      <c r="K261" t="s">
        <v>512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0.281035633257707</v>
      </c>
      <c r="R261" t="s">
        <v>779</v>
      </c>
      <c r="S261" t="s">
        <v>788</v>
      </c>
      <c r="T261">
        <v>267649.270539</v>
      </c>
      <c r="U261" s="2">
        <v>44505</v>
      </c>
      <c r="V261" t="s">
        <v>794</v>
      </c>
    </row>
    <row r="262" spans="1:22">
      <c r="A262" s="1" t="s">
        <v>282</v>
      </c>
      <c r="B262">
        <f>HYPERLINK("https://www.suredividend.com/sure-analysis-PEP/","PepsiCo Inc")</f>
        <v>0</v>
      </c>
      <c r="C262">
        <v>163.8</v>
      </c>
      <c r="D262">
        <v>124</v>
      </c>
      <c r="E262">
        <v>1.320967741935484</v>
      </c>
      <c r="F262">
        <v>0.02625152625152625</v>
      </c>
      <c r="G262">
        <v>-0.05415154768582631</v>
      </c>
      <c r="H262">
        <v>0.055</v>
      </c>
      <c r="I262">
        <v>0.02726556514492051</v>
      </c>
      <c r="J262" t="s">
        <v>776</v>
      </c>
      <c r="K262" t="s">
        <v>776</v>
      </c>
      <c r="L262">
        <v>6.2</v>
      </c>
      <c r="M262">
        <v>4.3</v>
      </c>
      <c r="N262">
        <v>0.6935483870967741</v>
      </c>
      <c r="O262">
        <v>49</v>
      </c>
      <c r="P262">
        <v>0.0550027021888726</v>
      </c>
      <c r="Q262">
        <v>0.157223772855436</v>
      </c>
      <c r="R262" t="s">
        <v>779</v>
      </c>
      <c r="S262" t="s">
        <v>788</v>
      </c>
      <c r="T262">
        <v>224888.501179</v>
      </c>
      <c r="U262" s="2">
        <v>44474</v>
      </c>
      <c r="V262" t="s">
        <v>795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160.21</v>
      </c>
      <c r="D263">
        <v>120</v>
      </c>
      <c r="E263">
        <v>1.335083333333333</v>
      </c>
      <c r="F263">
        <v>0.02746395356095125</v>
      </c>
      <c r="G263">
        <v>-0.05616011670386778</v>
      </c>
      <c r="H263">
        <v>0.057</v>
      </c>
      <c r="I263">
        <v>0.02642930039159275</v>
      </c>
      <c r="J263" t="s">
        <v>776</v>
      </c>
      <c r="K263" t="s">
        <v>776</v>
      </c>
      <c r="L263">
        <v>12.02</v>
      </c>
      <c r="M263">
        <v>4.4</v>
      </c>
      <c r="N263">
        <v>0.3660565723793678</v>
      </c>
      <c r="O263">
        <v>4</v>
      </c>
      <c r="P263">
        <v>0.03197912046824536</v>
      </c>
      <c r="Q263">
        <v>0.3877435517276691</v>
      </c>
      <c r="R263" t="s">
        <v>779</v>
      </c>
      <c r="S263" t="s">
        <v>789</v>
      </c>
      <c r="T263">
        <v>20572.801726</v>
      </c>
      <c r="U263" s="2">
        <v>44490</v>
      </c>
      <c r="V263" t="s">
        <v>795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177.47</v>
      </c>
      <c r="D264">
        <v>141</v>
      </c>
      <c r="E264">
        <v>1.258652482269504</v>
      </c>
      <c r="F264">
        <v>0.02028511861159633</v>
      </c>
      <c r="G264">
        <v>-0.04496600094811531</v>
      </c>
      <c r="H264">
        <v>0.05</v>
      </c>
      <c r="I264">
        <v>0.02503938198337785</v>
      </c>
      <c r="J264" t="s">
        <v>776</v>
      </c>
      <c r="K264" t="s">
        <v>370</v>
      </c>
      <c r="L264">
        <v>7.05</v>
      </c>
      <c r="M264">
        <v>3.6</v>
      </c>
      <c r="N264">
        <v>0.5106382978723405</v>
      </c>
      <c r="O264">
        <v>12</v>
      </c>
      <c r="P264">
        <v>0.04978904632428516</v>
      </c>
      <c r="Q264">
        <v>0.177598782703897</v>
      </c>
      <c r="R264" t="s">
        <v>779</v>
      </c>
      <c r="S264" t="s">
        <v>788</v>
      </c>
      <c r="T264">
        <v>36984.75198</v>
      </c>
      <c r="U264" s="2">
        <v>44500</v>
      </c>
      <c r="V264" t="s">
        <v>800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361.15</v>
      </c>
      <c r="D265">
        <v>345</v>
      </c>
      <c r="E265">
        <v>1.046811594202898</v>
      </c>
      <c r="F265">
        <v>0.0116295168212654</v>
      </c>
      <c r="G265">
        <v>-0.009108061509283338</v>
      </c>
      <c r="H265">
        <v>0.02</v>
      </c>
      <c r="I265">
        <v>0.02406595851311977</v>
      </c>
      <c r="J265" t="s">
        <v>776</v>
      </c>
      <c r="K265" t="s">
        <v>512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0.440803246002921</v>
      </c>
      <c r="R265" t="s">
        <v>779</v>
      </c>
      <c r="S265" t="s">
        <v>786</v>
      </c>
      <c r="T265">
        <v>111268.661995</v>
      </c>
      <c r="U265" s="2">
        <v>44428</v>
      </c>
      <c r="V265" t="s">
        <v>800</v>
      </c>
    </row>
    <row r="266" spans="1:22">
      <c r="A266" s="1" t="s">
        <v>286</v>
      </c>
      <c r="B266">
        <f>HYPERLINK("https://www.suredividend.com/sure-analysis-SBSI/","Southside Bancshares Inc")</f>
        <v>0</v>
      </c>
      <c r="C266">
        <v>44.04</v>
      </c>
      <c r="D266">
        <v>36</v>
      </c>
      <c r="E266">
        <v>1.223333333333333</v>
      </c>
      <c r="F266">
        <v>0.02997275204359673</v>
      </c>
      <c r="G266">
        <v>-0.03951400197679533</v>
      </c>
      <c r="H266">
        <v>0.03</v>
      </c>
      <c r="I266">
        <v>0.02137138277581219</v>
      </c>
      <c r="J266" t="s">
        <v>776</v>
      </c>
      <c r="K266" t="s">
        <v>775</v>
      </c>
      <c r="L266">
        <v>3.01</v>
      </c>
      <c r="M266">
        <v>1.32</v>
      </c>
      <c r="N266">
        <v>0.4385382059800665</v>
      </c>
      <c r="O266">
        <v>27</v>
      </c>
      <c r="P266">
        <v>0.02996744995959233</v>
      </c>
      <c r="Q266">
        <v>0.548448573640641</v>
      </c>
      <c r="R266" t="s">
        <v>779</v>
      </c>
      <c r="S266" t="s">
        <v>789</v>
      </c>
      <c r="T266">
        <v>1426.601719</v>
      </c>
      <c r="U266" s="2">
        <v>44495</v>
      </c>
      <c r="V266" t="s">
        <v>795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70.56</v>
      </c>
      <c r="D267">
        <v>62</v>
      </c>
      <c r="E267">
        <v>1.138064516129032</v>
      </c>
      <c r="F267">
        <v>0.02607709750566893</v>
      </c>
      <c r="G267">
        <v>-0.02553415104269485</v>
      </c>
      <c r="H267">
        <v>0.02</v>
      </c>
      <c r="I267">
        <v>0.0207382933672593</v>
      </c>
      <c r="J267" t="s">
        <v>776</v>
      </c>
      <c r="K267" t="s">
        <v>776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0.5846851063344021</v>
      </c>
      <c r="R267" t="s">
        <v>779</v>
      </c>
      <c r="S267" t="s">
        <v>790</v>
      </c>
      <c r="T267">
        <v>3373.756986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HYPERLINK("https://www.suredividend.com/sure-analysis-AAP/","Advance Auto Parts Inc")</f>
        <v>0</v>
      </c>
      <c r="C268">
        <v>241.91</v>
      </c>
      <c r="D268">
        <v>191</v>
      </c>
      <c r="E268">
        <v>1.266544502617801</v>
      </c>
      <c r="F268">
        <v>0.01653507502790294</v>
      </c>
      <c r="G268">
        <v>-0.04615916933663677</v>
      </c>
      <c r="H268">
        <v>0.05</v>
      </c>
      <c r="I268">
        <v>0.02071356164153948</v>
      </c>
      <c r="J268" t="s">
        <v>776</v>
      </c>
      <c r="K268" t="s">
        <v>370</v>
      </c>
      <c r="L268">
        <v>11.25</v>
      </c>
      <c r="M268">
        <v>4</v>
      </c>
      <c r="N268">
        <v>0.3555555555555556</v>
      </c>
      <c r="O268">
        <v>1</v>
      </c>
      <c r="P268">
        <v>0.06498652656427617</v>
      </c>
      <c r="Q268">
        <v>0.572326423490177</v>
      </c>
      <c r="R268" t="s">
        <v>779</v>
      </c>
      <c r="S268" t="s">
        <v>790</v>
      </c>
      <c r="T268">
        <v>15059.697129</v>
      </c>
      <c r="U268" s="2">
        <v>44432</v>
      </c>
      <c r="V268" t="s">
        <v>800</v>
      </c>
    </row>
    <row r="269" spans="1:22">
      <c r="A269" s="1" t="s">
        <v>289</v>
      </c>
      <c r="B269">
        <f>HYPERLINK("https://www.suredividend.com/sure-analysis-RHHBY/","Roche Holding AG")</f>
        <v>0</v>
      </c>
      <c r="C269">
        <v>49.7103</v>
      </c>
      <c r="D269">
        <v>42</v>
      </c>
      <c r="E269">
        <v>1.183578571428571</v>
      </c>
      <c r="F269">
        <v>0.02353636972619357</v>
      </c>
      <c r="G269">
        <v>-0.03314670581661427</v>
      </c>
      <c r="H269">
        <v>0.03</v>
      </c>
      <c r="I269">
        <v>0.02057955494866714</v>
      </c>
      <c r="J269" t="s">
        <v>776</v>
      </c>
      <c r="K269" t="s">
        <v>776</v>
      </c>
      <c r="L269">
        <v>2.3</v>
      </c>
      <c r="M269">
        <v>1.17</v>
      </c>
      <c r="N269">
        <v>0.5086956521739131</v>
      </c>
      <c r="O269">
        <v>34</v>
      </c>
      <c r="P269">
        <v>0.0275046295579735</v>
      </c>
      <c r="Q269">
        <v>0.201496048626381</v>
      </c>
      <c r="R269" t="s">
        <v>779</v>
      </c>
      <c r="S269" t="s">
        <v>784</v>
      </c>
      <c r="T269">
        <v>281306.10508</v>
      </c>
      <c r="U269" s="2">
        <v>44490</v>
      </c>
      <c r="V269" t="s">
        <v>805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172.68</v>
      </c>
      <c r="D270">
        <v>136</v>
      </c>
      <c r="E270">
        <v>1.269705882352941</v>
      </c>
      <c r="F270">
        <v>0.01395645123928654</v>
      </c>
      <c r="G270">
        <v>-0.04663462760168502</v>
      </c>
      <c r="H270">
        <v>0.05</v>
      </c>
      <c r="I270">
        <v>0.01854923720513346</v>
      </c>
      <c r="J270" t="s">
        <v>776</v>
      </c>
      <c r="K270" t="s">
        <v>512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0.07368521667387701</v>
      </c>
      <c r="R270" t="s">
        <v>779</v>
      </c>
      <c r="S270" t="s">
        <v>791</v>
      </c>
      <c r="T270">
        <v>30995.755094</v>
      </c>
      <c r="U270" s="2">
        <v>44504</v>
      </c>
      <c r="V270" t="s">
        <v>794</v>
      </c>
    </row>
    <row r="271" spans="1:22">
      <c r="A271" s="1" t="s">
        <v>291</v>
      </c>
      <c r="B271">
        <f>HYPERLINK("https://www.suredividend.com/sure-analysis-NEE/","NextEra Energy Inc")</f>
        <v>0</v>
      </c>
      <c r="C271">
        <v>87.34</v>
      </c>
      <c r="D271">
        <v>61</v>
      </c>
      <c r="E271">
        <v>1.431803278688525</v>
      </c>
      <c r="F271">
        <v>0.01763224181360202</v>
      </c>
      <c r="G271">
        <v>-0.06927082115420369</v>
      </c>
      <c r="H271">
        <v>0.07000000000000001</v>
      </c>
      <c r="I271">
        <v>0.01784074084672316</v>
      </c>
      <c r="J271" t="s">
        <v>776</v>
      </c>
      <c r="K271" t="s">
        <v>370</v>
      </c>
      <c r="L271">
        <v>2.47</v>
      </c>
      <c r="M271">
        <v>1.54</v>
      </c>
      <c r="N271">
        <v>0.6234817813765182</v>
      </c>
      <c r="O271">
        <v>25</v>
      </c>
      <c r="P271">
        <v>0.08353120449915608</v>
      </c>
      <c r="Q271">
        <v>0.134454775593252</v>
      </c>
      <c r="R271" t="s">
        <v>779</v>
      </c>
      <c r="S271" t="s">
        <v>791</v>
      </c>
      <c r="T271">
        <v>169087.327557</v>
      </c>
      <c r="U271" s="2">
        <v>44498</v>
      </c>
      <c r="V271" t="s">
        <v>803</v>
      </c>
    </row>
    <row r="272" spans="1:22">
      <c r="A272" s="1" t="s">
        <v>292</v>
      </c>
      <c r="B272">
        <f>HYPERLINK("https://www.suredividend.com/sure-analysis-UNP/","Union Pacific Corp.")</f>
        <v>0</v>
      </c>
      <c r="C272">
        <v>241.46</v>
      </c>
      <c r="D272">
        <v>169</v>
      </c>
      <c r="E272">
        <v>1.428757396449704</v>
      </c>
      <c r="F272">
        <v>0.01772550318893399</v>
      </c>
      <c r="G272">
        <v>-0.06887432596817966</v>
      </c>
      <c r="H272">
        <v>0.07000000000000001</v>
      </c>
      <c r="I272">
        <v>0.01635074398431002</v>
      </c>
      <c r="J272" t="s">
        <v>776</v>
      </c>
      <c r="K272" t="s">
        <v>370</v>
      </c>
      <c r="L272">
        <v>9.93</v>
      </c>
      <c r="M272">
        <v>4.28</v>
      </c>
      <c r="N272">
        <v>0.4310171198388721</v>
      </c>
      <c r="O272">
        <v>14</v>
      </c>
      <c r="P272">
        <v>0.04990444580451969</v>
      </c>
      <c r="Q272">
        <v>0.208793619580023</v>
      </c>
      <c r="R272" t="s">
        <v>779</v>
      </c>
      <c r="S272" t="s">
        <v>786</v>
      </c>
      <c r="T272">
        <v>155858.784708</v>
      </c>
      <c r="U272" s="2">
        <v>44490</v>
      </c>
      <c r="V272" t="s">
        <v>795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100.09</v>
      </c>
      <c r="D273">
        <v>79</v>
      </c>
      <c r="E273">
        <v>1.266962025316456</v>
      </c>
      <c r="F273">
        <v>0.02597662104106304</v>
      </c>
      <c r="G273">
        <v>-0.04622204457628676</v>
      </c>
      <c r="H273">
        <v>0.03</v>
      </c>
      <c r="I273">
        <v>0.01281986776452348</v>
      </c>
      <c r="J273" t="s">
        <v>776</v>
      </c>
      <c r="K273" t="s">
        <v>776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0.393583510477834</v>
      </c>
      <c r="R273" t="s">
        <v>779</v>
      </c>
      <c r="S273" t="s">
        <v>788</v>
      </c>
      <c r="T273">
        <v>6608.348766</v>
      </c>
      <c r="U273" s="2">
        <v>44509</v>
      </c>
      <c r="V273" t="s">
        <v>805</v>
      </c>
    </row>
    <row r="274" spans="1:22">
      <c r="A274" s="1" t="s">
        <v>294</v>
      </c>
      <c r="B274">
        <f>HYPERLINK("https://www.suredividend.com/sure-analysis-IFF/","International Flavors &amp; Fragrances Inc.")</f>
        <v>0</v>
      </c>
      <c r="C274">
        <v>152.36</v>
      </c>
      <c r="D274">
        <v>119</v>
      </c>
      <c r="E274">
        <v>1.280336134453782</v>
      </c>
      <c r="F274">
        <v>0.02074035179837228</v>
      </c>
      <c r="G274">
        <v>-0.04822301367911419</v>
      </c>
      <c r="H274">
        <v>0.04</v>
      </c>
      <c r="I274">
        <v>0.01273441204717773</v>
      </c>
      <c r="J274" t="s">
        <v>776</v>
      </c>
      <c r="K274" t="s">
        <v>370</v>
      </c>
      <c r="L274">
        <v>5.94</v>
      </c>
      <c r="M274">
        <v>3.16</v>
      </c>
      <c r="N274">
        <v>0.531986531986532</v>
      </c>
      <c r="O274">
        <v>19</v>
      </c>
      <c r="P274">
        <v>0.03482958654183155</v>
      </c>
      <c r="Q274">
        <v>0.3930557204028151</v>
      </c>
      <c r="R274" t="s">
        <v>779</v>
      </c>
      <c r="S274" t="s">
        <v>787</v>
      </c>
      <c r="T274">
        <v>38838.780345</v>
      </c>
      <c r="U274" s="2">
        <v>44424</v>
      </c>
      <c r="V274" t="s">
        <v>799</v>
      </c>
    </row>
    <row r="275" spans="1:22">
      <c r="A275" s="1" t="s">
        <v>295</v>
      </c>
      <c r="B275">
        <f>HYPERLINK("https://www.suredividend.com/sure-analysis-HON/","Honeywell International Inc")</f>
        <v>0</v>
      </c>
      <c r="C275">
        <v>222.47</v>
      </c>
      <c r="D275">
        <v>137</v>
      </c>
      <c r="E275">
        <v>1.623868613138686</v>
      </c>
      <c r="F275">
        <v>0.01762035330606374</v>
      </c>
      <c r="G275">
        <v>-0.09240974845104966</v>
      </c>
      <c r="H275">
        <v>0.09</v>
      </c>
      <c r="I275">
        <v>0.01218570851868472</v>
      </c>
      <c r="J275" t="s">
        <v>776</v>
      </c>
      <c r="K275" t="s">
        <v>370</v>
      </c>
      <c r="L275">
        <v>8.050000000000001</v>
      </c>
      <c r="M275">
        <v>3.92</v>
      </c>
      <c r="N275">
        <v>0.4869565217391304</v>
      </c>
      <c r="O275">
        <v>12</v>
      </c>
      <c r="P275">
        <v>0.08994918009420316</v>
      </c>
      <c r="Q275">
        <v>0.122308911250845</v>
      </c>
      <c r="R275" t="s">
        <v>779</v>
      </c>
      <c r="S275" t="s">
        <v>786</v>
      </c>
      <c r="T275">
        <v>153098.38541</v>
      </c>
      <c r="U275" s="2">
        <v>44491</v>
      </c>
      <c r="V275" t="s">
        <v>795</v>
      </c>
    </row>
    <row r="276" spans="1:22">
      <c r="A276" s="1" t="s">
        <v>296</v>
      </c>
      <c r="B276">
        <f>HYPERLINK("https://www.suredividend.com/sure-analysis-TR/","Tootsie Roll Industries, Inc.")</f>
        <v>0</v>
      </c>
      <c r="C276">
        <v>32.25</v>
      </c>
      <c r="D276">
        <v>28</v>
      </c>
      <c r="E276">
        <v>1.151785714285714</v>
      </c>
      <c r="F276">
        <v>0.01116279069767442</v>
      </c>
      <c r="G276">
        <v>-0.0278670525017839</v>
      </c>
      <c r="H276">
        <v>0.03</v>
      </c>
      <c r="I276">
        <v>0.01216356904642879</v>
      </c>
      <c r="J276" t="s">
        <v>776</v>
      </c>
      <c r="K276" t="s">
        <v>512</v>
      </c>
      <c r="L276">
        <v>0.92</v>
      </c>
      <c r="M276">
        <v>0.36</v>
      </c>
      <c r="N276">
        <v>0.3913043478260869</v>
      </c>
      <c r="O276">
        <v>0</v>
      </c>
      <c r="P276">
        <v>0</v>
      </c>
      <c r="Q276">
        <v>0.042428675932699</v>
      </c>
      <c r="R276" t="s">
        <v>779</v>
      </c>
      <c r="S276" t="s">
        <v>788</v>
      </c>
      <c r="T276">
        <v>1255.481015</v>
      </c>
      <c r="U276" s="2">
        <v>44430</v>
      </c>
      <c r="V276" t="s">
        <v>799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80.01000000000001</v>
      </c>
      <c r="D277">
        <v>65</v>
      </c>
      <c r="E277">
        <v>1.230923076923077</v>
      </c>
      <c r="F277">
        <v>0.02174728158980127</v>
      </c>
      <c r="G277">
        <v>-0.04070138545367719</v>
      </c>
      <c r="H277">
        <v>0.03</v>
      </c>
      <c r="I277">
        <v>0.01187819827725822</v>
      </c>
      <c r="J277" t="s">
        <v>776</v>
      </c>
      <c r="K277" t="s">
        <v>776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0.307388065307348</v>
      </c>
      <c r="R277" t="s">
        <v>779</v>
      </c>
      <c r="S277" t="s">
        <v>786</v>
      </c>
      <c r="T277">
        <v>1941.180234</v>
      </c>
      <c r="U277" s="2">
        <v>44498</v>
      </c>
      <c r="V277" t="s">
        <v>795</v>
      </c>
    </row>
    <row r="278" spans="1:22">
      <c r="A278" s="1" t="s">
        <v>298</v>
      </c>
      <c r="B278">
        <f>HYPERLINK("https://www.suredividend.com/sure-analysis-MWA/","Mueller Water Products Inc")</f>
        <v>0</v>
      </c>
      <c r="C278">
        <v>14.49</v>
      </c>
      <c r="D278">
        <v>11</v>
      </c>
      <c r="E278">
        <v>1.317272727272727</v>
      </c>
      <c r="F278">
        <v>0.01587301587301587</v>
      </c>
      <c r="G278">
        <v>-0.05362151179555319</v>
      </c>
      <c r="H278">
        <v>0.05</v>
      </c>
      <c r="I278">
        <v>0.01140248660080379</v>
      </c>
      <c r="J278" t="s">
        <v>776</v>
      </c>
      <c r="K278" t="s">
        <v>512</v>
      </c>
      <c r="L278">
        <v>0.5</v>
      </c>
      <c r="M278">
        <v>0.23</v>
      </c>
      <c r="N278">
        <v>0.46</v>
      </c>
      <c r="O278">
        <v>8</v>
      </c>
      <c r="P278">
        <v>0.04012620718096094</v>
      </c>
      <c r="Q278">
        <v>0.274993259755959</v>
      </c>
      <c r="R278" t="s">
        <v>779</v>
      </c>
      <c r="S278" t="s">
        <v>786</v>
      </c>
      <c r="T278">
        <v>2324.493045</v>
      </c>
      <c r="U278" s="2">
        <v>44511</v>
      </c>
      <c r="V278" t="s">
        <v>794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262.37</v>
      </c>
      <c r="D279">
        <v>151</v>
      </c>
      <c r="E279">
        <v>1.737549668874172</v>
      </c>
      <c r="F279">
        <v>0.006403171094256203</v>
      </c>
      <c r="G279">
        <v>-0.1046093512534491</v>
      </c>
      <c r="H279">
        <v>0.12</v>
      </c>
      <c r="I279">
        <v>0.01120862261249167</v>
      </c>
      <c r="J279" t="s">
        <v>776</v>
      </c>
      <c r="K279" t="s">
        <v>512</v>
      </c>
      <c r="L279">
        <v>6.3</v>
      </c>
      <c r="M279">
        <v>1.68</v>
      </c>
      <c r="N279">
        <v>0.2666666666666667</v>
      </c>
      <c r="O279">
        <v>1</v>
      </c>
      <c r="P279">
        <v>0.1003529239440031</v>
      </c>
      <c r="Q279">
        <v>0.194992857524735</v>
      </c>
      <c r="R279" t="s">
        <v>779</v>
      </c>
      <c r="S279" t="s">
        <v>784</v>
      </c>
      <c r="T279">
        <v>37131.713813</v>
      </c>
      <c r="U279" s="2">
        <v>44508</v>
      </c>
      <c r="V279" t="s">
        <v>797</v>
      </c>
    </row>
    <row r="280" spans="1:22">
      <c r="A280" s="1" t="s">
        <v>300</v>
      </c>
      <c r="B280">
        <f>HYPERLINK("https://www.suredividend.com/sure-analysis-PRGO/","Perrigo Company plc")</f>
        <v>0</v>
      </c>
      <c r="C280">
        <v>42.76</v>
      </c>
      <c r="D280">
        <v>31</v>
      </c>
      <c r="E280">
        <v>1.379354838709677</v>
      </c>
      <c r="F280">
        <v>0.02245088868101029</v>
      </c>
      <c r="G280">
        <v>-0.06229809250788609</v>
      </c>
      <c r="H280">
        <v>0.05</v>
      </c>
      <c r="I280">
        <v>0.01092781460041836</v>
      </c>
      <c r="J280" t="s">
        <v>776</v>
      </c>
      <c r="K280" t="s">
        <v>776</v>
      </c>
      <c r="L280">
        <v>2.05</v>
      </c>
      <c r="M280">
        <v>0.96</v>
      </c>
      <c r="N280">
        <v>0.4682926829268293</v>
      </c>
      <c r="O280">
        <v>19</v>
      </c>
      <c r="P280">
        <v>0.05081623913789235</v>
      </c>
      <c r="Q280">
        <v>-0.09830364468582201</v>
      </c>
      <c r="R280" t="s">
        <v>779</v>
      </c>
      <c r="S280" t="s">
        <v>784</v>
      </c>
      <c r="T280">
        <v>5789.850017</v>
      </c>
      <c r="U280" s="2">
        <v>44510</v>
      </c>
      <c r="V280" t="s">
        <v>795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47.54</v>
      </c>
      <c r="D281">
        <v>30</v>
      </c>
      <c r="E281">
        <v>1.584666666666667</v>
      </c>
      <c r="F281">
        <v>0.02250736222128734</v>
      </c>
      <c r="G281">
        <v>-0.08796308801034791</v>
      </c>
      <c r="H281">
        <v>0.07000000000000001</v>
      </c>
      <c r="I281">
        <v>0.003860902041173286</v>
      </c>
      <c r="J281" t="s">
        <v>776</v>
      </c>
      <c r="K281" t="s">
        <v>370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0.07747140574239901</v>
      </c>
      <c r="R281" t="s">
        <v>779</v>
      </c>
      <c r="S281" t="s">
        <v>791</v>
      </c>
      <c r="T281">
        <v>11911.772029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HYPERLINK("https://www.suredividend.com/sure-analysis-CARR/","Carrier Global Corp")</f>
        <v>0</v>
      </c>
      <c r="C282">
        <v>55.7</v>
      </c>
      <c r="D282">
        <v>40</v>
      </c>
      <c r="E282">
        <v>1.3925</v>
      </c>
      <c r="F282">
        <v>0.008617594254937163</v>
      </c>
      <c r="G282">
        <v>-0.06407519153118313</v>
      </c>
      <c r="H282">
        <v>0.06</v>
      </c>
      <c r="I282">
        <v>0.003627953393365191</v>
      </c>
      <c r="J282" t="s">
        <v>776</v>
      </c>
      <c r="K282" t="s">
        <v>512</v>
      </c>
      <c r="L282">
        <v>2.2</v>
      </c>
      <c r="M282">
        <v>0.48</v>
      </c>
      <c r="N282">
        <v>0.2181818181818181</v>
      </c>
      <c r="O282">
        <v>1</v>
      </c>
      <c r="P282">
        <v>0.09626227935295417</v>
      </c>
      <c r="Q282">
        <v>0.481434552375522</v>
      </c>
      <c r="R282" t="s">
        <v>779</v>
      </c>
      <c r="S282" t="s">
        <v>786</v>
      </c>
      <c r="T282">
        <v>48632.746384</v>
      </c>
      <c r="U282" s="2">
        <v>44502</v>
      </c>
      <c r="V282" t="s">
        <v>800</v>
      </c>
    </row>
    <row r="283" spans="1:22">
      <c r="A283" s="1" t="s">
        <v>303</v>
      </c>
      <c r="B283">
        <f>HYPERLINK("https://www.suredividend.com/sure-analysis-AJG/","Arthur J. Gallagher &amp; Co.")</f>
        <v>0</v>
      </c>
      <c r="C283">
        <v>165.38</v>
      </c>
      <c r="D283">
        <v>123</v>
      </c>
      <c r="E283">
        <v>1.344552845528455</v>
      </c>
      <c r="F283">
        <v>0.01160962631515298</v>
      </c>
      <c r="G283">
        <v>-0.05749334642071391</v>
      </c>
      <c r="H283">
        <v>0.05</v>
      </c>
      <c r="I283">
        <v>0.003293039632626726</v>
      </c>
      <c r="J283" t="s">
        <v>776</v>
      </c>
      <c r="K283" t="s">
        <v>512</v>
      </c>
      <c r="L283">
        <v>5.35</v>
      </c>
      <c r="M283">
        <v>1.92</v>
      </c>
      <c r="N283">
        <v>0.3588785046728972</v>
      </c>
      <c r="O283">
        <v>11</v>
      </c>
      <c r="P283">
        <v>0.04996052445273014</v>
      </c>
      <c r="Q283">
        <v>0.453093819375519</v>
      </c>
      <c r="R283" t="s">
        <v>779</v>
      </c>
      <c r="S283" t="s">
        <v>789</v>
      </c>
      <c r="T283">
        <v>34352.18294</v>
      </c>
      <c r="U283" s="2">
        <v>44413</v>
      </c>
      <c r="V283" t="s">
        <v>798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303.8</v>
      </c>
      <c r="D284">
        <v>200</v>
      </c>
      <c r="E284">
        <v>1.519</v>
      </c>
      <c r="F284">
        <v>0.01974983541803818</v>
      </c>
      <c r="G284">
        <v>-0.08021050483454406</v>
      </c>
      <c r="H284">
        <v>0.06</v>
      </c>
      <c r="I284">
        <v>0.0005114971398225698</v>
      </c>
      <c r="J284" t="s">
        <v>776</v>
      </c>
      <c r="K284" t="s">
        <v>776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0.200082379848526</v>
      </c>
      <c r="R284" t="s">
        <v>779</v>
      </c>
      <c r="S284" t="s">
        <v>787</v>
      </c>
      <c r="T284">
        <v>68623.04459999999</v>
      </c>
      <c r="U284" s="2">
        <v>44506</v>
      </c>
      <c r="V284" t="s">
        <v>797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113.49</v>
      </c>
      <c r="D285">
        <v>75</v>
      </c>
      <c r="E285">
        <v>1.5132</v>
      </c>
      <c r="F285">
        <v>0.01392193144770464</v>
      </c>
      <c r="G285">
        <v>-0.07950648439001917</v>
      </c>
      <c r="H285">
        <v>0.06</v>
      </c>
      <c r="I285">
        <v>-0.006046724407779536</v>
      </c>
      <c r="J285" t="s">
        <v>776</v>
      </c>
      <c r="K285" t="s">
        <v>512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0.694181512600006</v>
      </c>
      <c r="R285" t="s">
        <v>779</v>
      </c>
      <c r="S285" t="s">
        <v>784</v>
      </c>
      <c r="T285">
        <v>200476.9884</v>
      </c>
      <c r="U285" s="2">
        <v>44426</v>
      </c>
      <c r="V285" t="s">
        <v>799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335.06</v>
      </c>
      <c r="D286">
        <v>216</v>
      </c>
      <c r="E286">
        <v>1.551203703703704</v>
      </c>
      <c r="F286">
        <v>0.01337073956903241</v>
      </c>
      <c r="G286">
        <v>-0.08406167056263802</v>
      </c>
      <c r="H286">
        <v>0.065</v>
      </c>
      <c r="I286">
        <v>-0.006999946670754764</v>
      </c>
      <c r="J286" t="s">
        <v>776</v>
      </c>
      <c r="K286" t="s">
        <v>512</v>
      </c>
      <c r="L286">
        <v>10.8</v>
      </c>
      <c r="M286">
        <v>4.48</v>
      </c>
      <c r="N286">
        <v>0.4148148148148148</v>
      </c>
      <c r="O286">
        <v>12</v>
      </c>
      <c r="P286">
        <v>0.06988309640706269</v>
      </c>
      <c r="Q286">
        <v>0.416308722104036</v>
      </c>
      <c r="R286" t="s">
        <v>779</v>
      </c>
      <c r="S286" t="s">
        <v>786</v>
      </c>
      <c r="T286">
        <v>38793.620895</v>
      </c>
      <c r="U286" s="2">
        <v>44503</v>
      </c>
      <c r="V286" t="s">
        <v>797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129.13</v>
      </c>
      <c r="D287">
        <v>79</v>
      </c>
      <c r="E287">
        <v>1.634556962025316</v>
      </c>
      <c r="F287">
        <v>0.01541082629907845</v>
      </c>
      <c r="G287">
        <v>-0.09359980966501436</v>
      </c>
      <c r="H287">
        <v>0.07000000000000001</v>
      </c>
      <c r="I287">
        <v>-0.009609593208870781</v>
      </c>
      <c r="J287" t="s">
        <v>776</v>
      </c>
      <c r="K287" t="s">
        <v>370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0.212228147218736</v>
      </c>
      <c r="R287" t="s">
        <v>779</v>
      </c>
      <c r="S287" t="s">
        <v>786</v>
      </c>
      <c r="T287">
        <v>91804.15815</v>
      </c>
      <c r="U287" s="2">
        <v>44490</v>
      </c>
      <c r="V287" t="s">
        <v>795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129.11</v>
      </c>
      <c r="D288">
        <v>78.2</v>
      </c>
      <c r="E288">
        <v>1.651023017902813</v>
      </c>
      <c r="F288">
        <v>0.03315002710866703</v>
      </c>
      <c r="G288">
        <v>-0.09541501568237232</v>
      </c>
      <c r="H288">
        <v>0.05</v>
      </c>
      <c r="I288">
        <v>-0.01149053044490511</v>
      </c>
      <c r="J288" t="s">
        <v>776</v>
      </c>
      <c r="K288" t="s">
        <v>776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0.504612332266791</v>
      </c>
      <c r="R288" t="s">
        <v>781</v>
      </c>
      <c r="S288" t="s">
        <v>793</v>
      </c>
      <c r="T288">
        <v>9946.164319</v>
      </c>
      <c r="U288" s="2">
        <v>44509</v>
      </c>
      <c r="V288" t="s">
        <v>804</v>
      </c>
    </row>
    <row r="289" spans="1:22">
      <c r="A289" s="1" t="s">
        <v>309</v>
      </c>
      <c r="B289">
        <f>HYPERLINK("https://www.suredividend.com/sure-analysis-DDS/","Dillard`s Inc.")</f>
        <v>0</v>
      </c>
      <c r="C289">
        <v>342.13</v>
      </c>
      <c r="D289">
        <v>288</v>
      </c>
      <c r="E289">
        <v>1.187951388888889</v>
      </c>
      <c r="F289">
        <v>0.002338292461929676</v>
      </c>
      <c r="G289">
        <v>-0.03385954842368843</v>
      </c>
      <c r="H289">
        <v>0.02</v>
      </c>
      <c r="I289">
        <v>-0.01206977605690895</v>
      </c>
      <c r="J289" t="s">
        <v>776</v>
      </c>
      <c r="K289" t="s">
        <v>512</v>
      </c>
      <c r="L289">
        <v>26.2</v>
      </c>
      <c r="M289">
        <v>0.8</v>
      </c>
      <c r="N289">
        <v>0.03053435114503817</v>
      </c>
      <c r="O289">
        <v>11</v>
      </c>
      <c r="P289">
        <v>0</v>
      </c>
      <c r="Q289">
        <v>5.938450456388059</v>
      </c>
      <c r="R289" t="s">
        <v>779</v>
      </c>
      <c r="S289" t="s">
        <v>790</v>
      </c>
      <c r="T289">
        <v>5461.309347</v>
      </c>
      <c r="U289" s="2">
        <v>44434</v>
      </c>
      <c r="V289" t="s">
        <v>797</v>
      </c>
    </row>
    <row r="290" spans="1:22">
      <c r="A290" s="1" t="s">
        <v>310</v>
      </c>
      <c r="B290">
        <f>HYPERLINK("https://www.suredividend.com/sure-analysis-OTIS/","Otis Worldwide Corp")</f>
        <v>0</v>
      </c>
      <c r="C290">
        <v>84.16</v>
      </c>
      <c r="D290">
        <v>52</v>
      </c>
      <c r="E290">
        <v>1.618461538461538</v>
      </c>
      <c r="F290">
        <v>0.01140684410646388</v>
      </c>
      <c r="G290">
        <v>-0.09180412845285302</v>
      </c>
      <c r="H290">
        <v>0.07000000000000001</v>
      </c>
      <c r="I290">
        <v>-0.01295087672616946</v>
      </c>
      <c r="J290" t="s">
        <v>776</v>
      </c>
      <c r="K290" t="s">
        <v>512</v>
      </c>
      <c r="L290">
        <v>2.95</v>
      </c>
      <c r="M290">
        <v>0.96</v>
      </c>
      <c r="N290">
        <v>0.3254237288135593</v>
      </c>
      <c r="O290">
        <v>1</v>
      </c>
      <c r="P290">
        <v>0.07056368416916192</v>
      </c>
      <c r="Q290">
        <v>0.321475089044858</v>
      </c>
      <c r="R290" t="s">
        <v>779</v>
      </c>
      <c r="S290" t="s">
        <v>786</v>
      </c>
      <c r="T290">
        <v>36372.966473</v>
      </c>
      <c r="U290" s="2">
        <v>44495</v>
      </c>
      <c r="V290" t="s">
        <v>800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199.79</v>
      </c>
      <c r="D291">
        <v>130</v>
      </c>
      <c r="E291">
        <v>1.536846153846154</v>
      </c>
      <c r="F291">
        <v>0.006006306621953051</v>
      </c>
      <c r="G291">
        <v>-0.08235665129910408</v>
      </c>
      <c r="H291">
        <v>0.063</v>
      </c>
      <c r="I291">
        <v>-0.01580065686134224</v>
      </c>
      <c r="J291" t="s">
        <v>776</v>
      </c>
      <c r="K291" t="s">
        <v>512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0.09069597515679201</v>
      </c>
      <c r="R291" t="s">
        <v>779</v>
      </c>
      <c r="S291" t="s">
        <v>786</v>
      </c>
      <c r="T291">
        <v>3054.664395</v>
      </c>
      <c r="U291" s="2">
        <v>44491</v>
      </c>
      <c r="V291" t="s">
        <v>801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106.18</v>
      </c>
      <c r="D292">
        <v>97</v>
      </c>
      <c r="E292">
        <v>1.094639175257732</v>
      </c>
      <c r="F292">
        <v>0.01393859483895272</v>
      </c>
      <c r="G292">
        <v>-0.01792240626949537</v>
      </c>
      <c r="H292">
        <v>-0.015</v>
      </c>
      <c r="I292">
        <v>-0.01581428046820055</v>
      </c>
      <c r="J292" t="s">
        <v>776</v>
      </c>
      <c r="K292" t="s">
        <v>512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0.563898720069243</v>
      </c>
      <c r="R292" t="s">
        <v>779</v>
      </c>
      <c r="S292" t="s">
        <v>789</v>
      </c>
      <c r="T292">
        <v>5102.820259</v>
      </c>
      <c r="U292" s="2">
        <v>44512</v>
      </c>
      <c r="V292" t="s">
        <v>798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191.14</v>
      </c>
      <c r="D293">
        <v>121</v>
      </c>
      <c r="E293">
        <v>1.579669421487603</v>
      </c>
      <c r="F293">
        <v>0.01234697080673852</v>
      </c>
      <c r="G293">
        <v>-0.08738677556307362</v>
      </c>
      <c r="H293">
        <v>0.06</v>
      </c>
      <c r="I293">
        <v>-0.01633318832192898</v>
      </c>
      <c r="J293" t="s">
        <v>776</v>
      </c>
      <c r="K293" t="s">
        <v>512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0.321396401796019</v>
      </c>
      <c r="R293" t="s">
        <v>779</v>
      </c>
      <c r="S293" t="s">
        <v>786</v>
      </c>
      <c r="T293">
        <v>45823.875738</v>
      </c>
      <c r="U293" s="2">
        <v>44511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351.47</v>
      </c>
      <c r="D294">
        <v>224</v>
      </c>
      <c r="E294">
        <v>1.5690625</v>
      </c>
      <c r="F294">
        <v>0.0237858138674709</v>
      </c>
      <c r="G294">
        <v>-0.0861562385289758</v>
      </c>
      <c r="H294">
        <v>0.038</v>
      </c>
      <c r="I294">
        <v>-0.02253017524093914</v>
      </c>
      <c r="J294" t="s">
        <v>776</v>
      </c>
      <c r="K294" t="s">
        <v>370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0.3999960396151631</v>
      </c>
      <c r="R294" t="s">
        <v>781</v>
      </c>
      <c r="S294" t="s">
        <v>793</v>
      </c>
      <c r="T294">
        <v>22548.377293</v>
      </c>
      <c r="U294" s="2">
        <v>44503</v>
      </c>
      <c r="V294" t="s">
        <v>804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133.16</v>
      </c>
      <c r="D295">
        <v>86</v>
      </c>
      <c r="E295">
        <v>1.548372093023256</v>
      </c>
      <c r="F295">
        <v>0.02252928807449685</v>
      </c>
      <c r="G295">
        <v>-0.08372690792698867</v>
      </c>
      <c r="H295">
        <v>0.03</v>
      </c>
      <c r="I295">
        <v>-0.02621645676027429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0.6757309240495151</v>
      </c>
      <c r="R295" t="s">
        <v>779</v>
      </c>
      <c r="S295" t="s">
        <v>789</v>
      </c>
      <c r="T295">
        <v>8461.353062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163</v>
      </c>
      <c r="D296">
        <v>98</v>
      </c>
      <c r="E296">
        <v>1.663265306122449</v>
      </c>
      <c r="F296">
        <v>0.01411042944785276</v>
      </c>
      <c r="G296">
        <v>-0.09675057399067</v>
      </c>
      <c r="H296">
        <v>0.05</v>
      </c>
      <c r="I296">
        <v>-0.03214502585256451</v>
      </c>
      <c r="J296" t="s">
        <v>776</v>
      </c>
      <c r="K296" t="s">
        <v>370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0.359941390180852</v>
      </c>
      <c r="R296" t="s">
        <v>779</v>
      </c>
      <c r="S296" t="s">
        <v>786</v>
      </c>
      <c r="T296">
        <v>68177.19986399999</v>
      </c>
      <c r="U296" s="2">
        <v>44496</v>
      </c>
      <c r="V296" t="s">
        <v>800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227.7</v>
      </c>
      <c r="D297">
        <v>128</v>
      </c>
      <c r="E297">
        <v>1.77890625</v>
      </c>
      <c r="F297">
        <v>0.01818181818181818</v>
      </c>
      <c r="G297">
        <v>-0.1088118814178224</v>
      </c>
      <c r="H297">
        <v>0.055</v>
      </c>
      <c r="I297">
        <v>-0.03423730688348725</v>
      </c>
      <c r="J297" t="s">
        <v>776</v>
      </c>
      <c r="K297" t="s">
        <v>370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-0.001295485251265</v>
      </c>
      <c r="R297" t="s">
        <v>779</v>
      </c>
      <c r="S297" t="s">
        <v>789</v>
      </c>
      <c r="T297">
        <v>10625.333203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74.09</v>
      </c>
      <c r="D298">
        <v>55</v>
      </c>
      <c r="E298">
        <v>1.347090909090909</v>
      </c>
      <c r="F298">
        <v>0.02321500877311378</v>
      </c>
      <c r="G298">
        <v>-0.05784877108284003</v>
      </c>
      <c r="H298">
        <v>-0.02</v>
      </c>
      <c r="I298">
        <v>-0.04587868002706164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0.193168475131332</v>
      </c>
      <c r="R298" t="s">
        <v>779</v>
      </c>
      <c r="S298" t="s">
        <v>789</v>
      </c>
      <c r="T298">
        <v>4000.605586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258.43</v>
      </c>
      <c r="D299">
        <v>140</v>
      </c>
      <c r="E299">
        <v>1.845928571428572</v>
      </c>
      <c r="F299">
        <v>0.01315636729481871</v>
      </c>
      <c r="G299">
        <v>-0.1153794547303577</v>
      </c>
      <c r="H299">
        <v>0.04</v>
      </c>
      <c r="I299">
        <v>-0.05902588986949486</v>
      </c>
      <c r="J299" t="s">
        <v>776</v>
      </c>
      <c r="K299" t="s">
        <v>512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0.85128013900465</v>
      </c>
      <c r="R299" t="s">
        <v>779</v>
      </c>
      <c r="S299" t="s">
        <v>784</v>
      </c>
      <c r="T299">
        <v>248379.214842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129.47</v>
      </c>
      <c r="D300">
        <v>54</v>
      </c>
      <c r="E300">
        <v>2.397592592592593</v>
      </c>
      <c r="F300">
        <v>0.008650652660848074</v>
      </c>
      <c r="G300">
        <v>-0.1604531772916136</v>
      </c>
      <c r="H300">
        <v>0.09</v>
      </c>
      <c r="I300">
        <v>-0.06913507716620526</v>
      </c>
      <c r="J300" t="s">
        <v>776</v>
      </c>
      <c r="K300" t="s">
        <v>512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0.384249273038476</v>
      </c>
      <c r="R300" t="s">
        <v>779</v>
      </c>
      <c r="S300" t="s">
        <v>786</v>
      </c>
      <c r="T300">
        <v>23537.857754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</v>
      </c>
      <c r="D301">
        <v>12</v>
      </c>
      <c r="E301">
        <v>0.3833333333333333</v>
      </c>
      <c r="F301">
        <v>0.008695652173913044</v>
      </c>
      <c r="G301">
        <v>0.2113919486915226</v>
      </c>
      <c r="H301">
        <v>0</v>
      </c>
      <c r="I301">
        <v>0.2577726476317661</v>
      </c>
      <c r="J301" t="s">
        <v>370</v>
      </c>
      <c r="K301" t="s">
        <v>512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-0.5936731597579471</v>
      </c>
      <c r="R301" t="s">
        <v>780</v>
      </c>
      <c r="S301" t="s">
        <v>792</v>
      </c>
      <c r="T301">
        <v>155.462456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HYPERLINK("https://www.suredividend.com/sure-analysis-MFGP/","Micro Focus International Plc")</f>
        <v>0</v>
      </c>
      <c r="C302">
        <v>5.38</v>
      </c>
      <c r="D302">
        <v>9.17</v>
      </c>
      <c r="E302">
        <v>0.5866957470010905</v>
      </c>
      <c r="F302">
        <v>0.03345724907063197</v>
      </c>
      <c r="G302">
        <v>0.1125445535808749</v>
      </c>
      <c r="H302">
        <v>0.04</v>
      </c>
      <c r="I302">
        <v>0.1774070368057512</v>
      </c>
      <c r="J302" t="s">
        <v>370</v>
      </c>
      <c r="K302" t="s">
        <v>776</v>
      </c>
      <c r="L302">
        <v>1.31</v>
      </c>
      <c r="M302">
        <v>0.18</v>
      </c>
      <c r="N302">
        <v>0.1374045801526717</v>
      </c>
      <c r="O302">
        <v>1</v>
      </c>
      <c r="P302">
        <v>0.04095039696925684</v>
      </c>
      <c r="Q302">
        <v>0.6301703163017031</v>
      </c>
      <c r="R302" t="s">
        <v>779</v>
      </c>
      <c r="S302" t="s">
        <v>785</v>
      </c>
      <c r="T302">
        <v>1799.066098</v>
      </c>
      <c r="U302" s="2">
        <v>44384</v>
      </c>
      <c r="V302" t="s">
        <v>795</v>
      </c>
    </row>
    <row r="303" spans="1:22">
      <c r="A303" s="1" t="s">
        <v>323</v>
      </c>
      <c r="B303">
        <f>HYPERLINK("https://www.suredividend.com/sure-analysis-TX/","Ternium S.A.")</f>
        <v>0</v>
      </c>
      <c r="C303">
        <v>40.62</v>
      </c>
      <c r="D303">
        <v>128</v>
      </c>
      <c r="E303">
        <v>0.31734375</v>
      </c>
      <c r="F303">
        <v>0.05169867060561301</v>
      </c>
      <c r="G303">
        <v>0.2580387259562884</v>
      </c>
      <c r="H303">
        <v>-0.1</v>
      </c>
      <c r="I303">
        <v>0.170581410663972</v>
      </c>
      <c r="J303" t="s">
        <v>370</v>
      </c>
      <c r="K303" t="s">
        <v>776</v>
      </c>
      <c r="L303">
        <v>16</v>
      </c>
      <c r="M303">
        <v>2.1</v>
      </c>
      <c r="N303">
        <v>0.13125</v>
      </c>
      <c r="O303">
        <v>1</v>
      </c>
      <c r="P303">
        <v>0.08992507843838271</v>
      </c>
      <c r="Q303">
        <v>0.855268414650021</v>
      </c>
      <c r="R303" t="s">
        <v>779</v>
      </c>
      <c r="S303" t="s">
        <v>787</v>
      </c>
      <c r="T303">
        <v>8285.604638000001</v>
      </c>
      <c r="U303" s="2">
        <v>44442</v>
      </c>
      <c r="V303" t="s">
        <v>801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13.9</v>
      </c>
      <c r="D304">
        <v>26.6</v>
      </c>
      <c r="E304">
        <v>0.5225563909774436</v>
      </c>
      <c r="F304">
        <v>0.0158273381294964</v>
      </c>
      <c r="G304">
        <v>0.1386057358205208</v>
      </c>
      <c r="H304">
        <v>0.02</v>
      </c>
      <c r="I304">
        <v>0.1704053366189771</v>
      </c>
      <c r="J304" t="s">
        <v>370</v>
      </c>
      <c r="K304" t="s">
        <v>512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-0.123776640667693</v>
      </c>
      <c r="R304" t="s">
        <v>779</v>
      </c>
      <c r="S304" t="s">
        <v>784</v>
      </c>
      <c r="T304">
        <v>17064.5411</v>
      </c>
      <c r="U304" s="2">
        <v>44515</v>
      </c>
      <c r="V304" t="s">
        <v>805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100.3</v>
      </c>
      <c r="D305">
        <v>130</v>
      </c>
      <c r="E305">
        <v>0.7715384615384615</v>
      </c>
      <c r="F305">
        <v>0.01714855433698903</v>
      </c>
      <c r="G305">
        <v>0.05324276337640454</v>
      </c>
      <c r="H305">
        <v>0.09</v>
      </c>
      <c r="I305">
        <v>0.1604971671729392</v>
      </c>
      <c r="J305" t="s">
        <v>370</v>
      </c>
      <c r="K305" t="s">
        <v>512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0.222680913064594</v>
      </c>
      <c r="R305" t="s">
        <v>779</v>
      </c>
      <c r="S305" t="s">
        <v>790</v>
      </c>
      <c r="T305">
        <v>2182.324783</v>
      </c>
      <c r="U305" s="2">
        <v>44431</v>
      </c>
      <c r="V305" t="s">
        <v>802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51.69</v>
      </c>
      <c r="D306">
        <v>65</v>
      </c>
      <c r="E306">
        <v>0.7952307692307692</v>
      </c>
      <c r="F306">
        <v>0.03869220352099052</v>
      </c>
      <c r="G306">
        <v>0.04689075569853607</v>
      </c>
      <c r="H306">
        <v>0.08</v>
      </c>
      <c r="I306">
        <v>0.1591764903599215</v>
      </c>
      <c r="J306" t="s">
        <v>370</v>
      </c>
      <c r="K306" t="s">
        <v>776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0.232477902903917</v>
      </c>
      <c r="R306" t="s">
        <v>779</v>
      </c>
      <c r="S306" t="s">
        <v>789</v>
      </c>
      <c r="T306">
        <v>3653.417566</v>
      </c>
      <c r="U306" s="2">
        <v>44502</v>
      </c>
      <c r="V306" t="s">
        <v>794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55.53</v>
      </c>
      <c r="D307">
        <v>86</v>
      </c>
      <c r="E307">
        <v>0.6456976744186047</v>
      </c>
      <c r="F307">
        <v>0.02160994057266342</v>
      </c>
      <c r="G307">
        <v>0.09142564867068237</v>
      </c>
      <c r="H307">
        <v>0.03</v>
      </c>
      <c r="I307">
        <v>0.1443901107495627</v>
      </c>
      <c r="J307" t="s">
        <v>370</v>
      </c>
      <c r="K307" t="s">
        <v>512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0.499581023503626</v>
      </c>
      <c r="R307" t="s">
        <v>779</v>
      </c>
      <c r="S307" t="s">
        <v>790</v>
      </c>
      <c r="T307">
        <v>5703.193884</v>
      </c>
      <c r="U307" s="2">
        <v>44437</v>
      </c>
      <c r="V307" t="s">
        <v>798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61.49</v>
      </c>
      <c r="D308">
        <v>81</v>
      </c>
      <c r="E308">
        <v>0.7591358024691358</v>
      </c>
      <c r="F308">
        <v>0.04228329809725159</v>
      </c>
      <c r="G308">
        <v>0.05666203818128834</v>
      </c>
      <c r="H308">
        <v>0.05</v>
      </c>
      <c r="I308">
        <v>0.1419056775979772</v>
      </c>
      <c r="J308" t="s">
        <v>370</v>
      </c>
      <c r="K308" t="s">
        <v>776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0.606195287593848</v>
      </c>
      <c r="R308" t="s">
        <v>779</v>
      </c>
      <c r="S308" t="s">
        <v>786</v>
      </c>
      <c r="T308">
        <v>4131.150354</v>
      </c>
      <c r="U308" s="2">
        <v>44497</v>
      </c>
      <c r="V308" t="s">
        <v>794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49.37</v>
      </c>
      <c r="D309">
        <v>60</v>
      </c>
      <c r="E309">
        <v>0.8228333333333333</v>
      </c>
      <c r="F309">
        <v>0.08405914522989671</v>
      </c>
      <c r="G309">
        <v>0.03977081844618624</v>
      </c>
      <c r="H309">
        <v>0.03</v>
      </c>
      <c r="I309">
        <v>0.1313154974795874</v>
      </c>
      <c r="J309" t="s">
        <v>370</v>
      </c>
      <c r="K309" t="s">
        <v>775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0.348216119975347</v>
      </c>
      <c r="R309" t="s">
        <v>780</v>
      </c>
      <c r="S309" t="s">
        <v>792</v>
      </c>
      <c r="T309">
        <v>10505.774614</v>
      </c>
      <c r="U309" s="2">
        <v>44504</v>
      </c>
      <c r="V309" t="s">
        <v>802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95.22</v>
      </c>
      <c r="D310">
        <v>190</v>
      </c>
      <c r="E310">
        <v>0.5011578947368421</v>
      </c>
      <c r="F310">
        <v>0.04746901911363158</v>
      </c>
      <c r="G310">
        <v>0.1481670642720516</v>
      </c>
      <c r="H310">
        <v>-0.05</v>
      </c>
      <c r="I310">
        <v>0.1281823355263738</v>
      </c>
      <c r="J310" t="s">
        <v>370</v>
      </c>
      <c r="K310" t="s">
        <v>776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0.283584941458892</v>
      </c>
      <c r="R310" t="s">
        <v>779</v>
      </c>
      <c r="S310" t="s">
        <v>787</v>
      </c>
      <c r="T310">
        <v>31744.260418</v>
      </c>
      <c r="U310" s="2">
        <v>44502</v>
      </c>
      <c r="V310" t="s">
        <v>794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24.54</v>
      </c>
      <c r="D311">
        <v>33</v>
      </c>
      <c r="E311">
        <v>0.7436363636363637</v>
      </c>
      <c r="F311">
        <v>0.04930725346373268</v>
      </c>
      <c r="G311">
        <v>0.06103051989694297</v>
      </c>
      <c r="H311">
        <v>0.03</v>
      </c>
      <c r="I311">
        <v>0.1278159118946385</v>
      </c>
      <c r="J311" t="s">
        <v>370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0.08116093852827801</v>
      </c>
      <c r="R311" t="s">
        <v>779</v>
      </c>
      <c r="S311" t="s">
        <v>791</v>
      </c>
      <c r="T311">
        <v>2715.597441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35.41</v>
      </c>
      <c r="D312">
        <v>42</v>
      </c>
      <c r="E312">
        <v>0.843095238095238</v>
      </c>
      <c r="F312">
        <v>0.08189776899181023</v>
      </c>
      <c r="G312">
        <v>0.03472435795571416</v>
      </c>
      <c r="H312">
        <v>0.03</v>
      </c>
      <c r="I312">
        <v>0.1267604559989346</v>
      </c>
      <c r="J312" t="s">
        <v>370</v>
      </c>
      <c r="K312" t="s">
        <v>775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0.028030298612771</v>
      </c>
      <c r="R312" t="s">
        <v>779</v>
      </c>
      <c r="S312" t="s">
        <v>788</v>
      </c>
      <c r="T312">
        <v>80908.57041</v>
      </c>
      <c r="U312" s="2">
        <v>44462</v>
      </c>
      <c r="V312" t="s">
        <v>797</v>
      </c>
    </row>
    <row r="313" spans="1:22">
      <c r="A313" s="1" t="s">
        <v>333</v>
      </c>
      <c r="B313">
        <f>HYPERLINK("https://www.suredividend.com/sure-analysis-MCHP/","Microchip Technology, Inc.")</f>
        <v>0</v>
      </c>
      <c r="C313">
        <v>83.20999999999999</v>
      </c>
      <c r="D313">
        <v>81</v>
      </c>
      <c r="E313">
        <v>1.027283950617284</v>
      </c>
      <c r="F313">
        <v>0.01117654128109602</v>
      </c>
      <c r="G313">
        <v>-0.005369209637983041</v>
      </c>
      <c r="H313">
        <v>0.12</v>
      </c>
      <c r="I313">
        <v>0.1241318692395608</v>
      </c>
      <c r="J313" t="s">
        <v>370</v>
      </c>
      <c r="K313" t="s">
        <v>512</v>
      </c>
      <c r="L313">
        <v>4.5</v>
      </c>
      <c r="M313">
        <v>0.93</v>
      </c>
      <c r="N313">
        <v>0.2066666666666667</v>
      </c>
      <c r="O313">
        <v>19</v>
      </c>
      <c r="P313">
        <v>0.1201396745310872</v>
      </c>
      <c r="Q313">
        <v>1.672947907179598</v>
      </c>
      <c r="R313" t="s">
        <v>779</v>
      </c>
      <c r="S313" t="s">
        <v>785</v>
      </c>
      <c r="T313">
        <v>46248.473845</v>
      </c>
      <c r="U313" s="2">
        <v>44513</v>
      </c>
      <c r="V313" t="s">
        <v>794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49.93</v>
      </c>
      <c r="D314">
        <v>68</v>
      </c>
      <c r="E314">
        <v>0.7342647058823529</v>
      </c>
      <c r="F314">
        <v>0.02002803925495694</v>
      </c>
      <c r="G314">
        <v>0.06372525238588445</v>
      </c>
      <c r="H314">
        <v>0.04</v>
      </c>
      <c r="I314">
        <v>0.1236744429518846</v>
      </c>
      <c r="J314" t="s">
        <v>370</v>
      </c>
      <c r="K314" t="s">
        <v>512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0.7230513474752081</v>
      </c>
      <c r="R314" t="s">
        <v>779</v>
      </c>
      <c r="S314" t="s">
        <v>789</v>
      </c>
      <c r="T314">
        <v>17523.13752</v>
      </c>
      <c r="U314" s="2">
        <v>44498</v>
      </c>
      <c r="V314" t="s">
        <v>797</v>
      </c>
    </row>
    <row r="315" spans="1:22">
      <c r="A315" s="1" t="s">
        <v>335</v>
      </c>
      <c r="B315">
        <f>HYPERLINK("https://www.suredividend.com/sure-analysis-DKS/","Dicks Sporting Goods, Inc.")</f>
        <v>0</v>
      </c>
      <c r="C315">
        <v>134.44</v>
      </c>
      <c r="D315">
        <v>158.96</v>
      </c>
      <c r="E315">
        <v>0.8457473578258681</v>
      </c>
      <c r="F315">
        <v>0.01301695923832193</v>
      </c>
      <c r="G315">
        <v>0.0340745985436397</v>
      </c>
      <c r="H315">
        <v>0.075</v>
      </c>
      <c r="I315">
        <v>0.1225291917382421</v>
      </c>
      <c r="J315" t="s">
        <v>370</v>
      </c>
      <c r="K315" t="s">
        <v>512</v>
      </c>
      <c r="L315">
        <v>12.7</v>
      </c>
      <c r="M315">
        <v>1.75</v>
      </c>
      <c r="N315">
        <v>0.1377952755905512</v>
      </c>
      <c r="O315">
        <v>7</v>
      </c>
      <c r="P315">
        <v>0.08979006975364512</v>
      </c>
      <c r="Q315">
        <v>1.725257557406372</v>
      </c>
      <c r="R315" t="s">
        <v>779</v>
      </c>
      <c r="S315" t="s">
        <v>790</v>
      </c>
      <c r="T315">
        <v>8512.566403999999</v>
      </c>
      <c r="U315" s="2">
        <v>44439</v>
      </c>
      <c r="V315" t="s">
        <v>801</v>
      </c>
    </row>
    <row r="316" spans="1:22">
      <c r="A316" s="1" t="s">
        <v>336</v>
      </c>
      <c r="B316">
        <f>HYPERLINK("https://www.suredividend.com/sure-analysis-PNW/","Pinnacle West Capital Corp.")</f>
        <v>0</v>
      </c>
      <c r="C316">
        <v>65.92</v>
      </c>
      <c r="D316">
        <v>88</v>
      </c>
      <c r="E316">
        <v>0.7490909090909091</v>
      </c>
      <c r="F316">
        <v>0.05188106796116505</v>
      </c>
      <c r="G316">
        <v>0.05948080950240642</v>
      </c>
      <c r="H316">
        <v>0.02</v>
      </c>
      <c r="I316">
        <v>0.1183584611836905</v>
      </c>
      <c r="J316" t="s">
        <v>370</v>
      </c>
      <c r="K316" t="s">
        <v>775</v>
      </c>
      <c r="L316">
        <v>5.06</v>
      </c>
      <c r="M316">
        <v>3.42</v>
      </c>
      <c r="N316">
        <v>0.6758893280632411</v>
      </c>
      <c r="O316">
        <v>10</v>
      </c>
      <c r="P316">
        <v>0.02021836907521135</v>
      </c>
      <c r="Q316">
        <v>-0.238139585275923</v>
      </c>
      <c r="R316" t="s">
        <v>779</v>
      </c>
      <c r="S316" t="s">
        <v>791</v>
      </c>
      <c r="T316">
        <v>7455.127367</v>
      </c>
      <c r="U316" s="2">
        <v>44513</v>
      </c>
      <c r="V316" t="s">
        <v>796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49.78</v>
      </c>
      <c r="D317">
        <v>71</v>
      </c>
      <c r="E317">
        <v>0.7011267605633803</v>
      </c>
      <c r="F317">
        <v>0.06187223784652471</v>
      </c>
      <c r="G317">
        <v>0.07359552179301621</v>
      </c>
      <c r="H317">
        <v>0</v>
      </c>
      <c r="I317">
        <v>0.1179666883741757</v>
      </c>
      <c r="J317" t="s">
        <v>370</v>
      </c>
      <c r="K317" t="s">
        <v>775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0.323940954049262</v>
      </c>
      <c r="R317" t="s">
        <v>779</v>
      </c>
      <c r="S317" t="s">
        <v>792</v>
      </c>
      <c r="T317">
        <v>130912.486132</v>
      </c>
      <c r="U317" s="2">
        <v>44501</v>
      </c>
      <c r="V317" t="s">
        <v>802</v>
      </c>
    </row>
    <row r="318" spans="1:22">
      <c r="A318" s="1" t="s">
        <v>338</v>
      </c>
      <c r="B318">
        <f>HYPERLINK("https://www.suredividend.com/sure-analysis-DGX/","Quest Diagnostics, Inc.")</f>
        <v>0</v>
      </c>
      <c r="C318">
        <v>146.6</v>
      </c>
      <c r="D318">
        <v>206</v>
      </c>
      <c r="E318">
        <v>0.7116504854368931</v>
      </c>
      <c r="F318">
        <v>0.01691678035470669</v>
      </c>
      <c r="G318">
        <v>0.07040135456591678</v>
      </c>
      <c r="H318">
        <v>0.03</v>
      </c>
      <c r="I318">
        <v>0.1162607839395344</v>
      </c>
      <c r="J318" t="s">
        <v>370</v>
      </c>
      <c r="K318" t="s">
        <v>512</v>
      </c>
      <c r="L318">
        <v>13.7</v>
      </c>
      <c r="M318">
        <v>2.48</v>
      </c>
      <c r="N318">
        <v>0.181021897810219</v>
      </c>
      <c r="O318">
        <v>10</v>
      </c>
      <c r="P318">
        <v>0.07010283006626494</v>
      </c>
      <c r="Q318">
        <v>0.245663016597214</v>
      </c>
      <c r="R318" t="s">
        <v>779</v>
      </c>
      <c r="S318" t="s">
        <v>784</v>
      </c>
      <c r="T318">
        <v>18401.21565</v>
      </c>
      <c r="U318" s="2">
        <v>44490</v>
      </c>
      <c r="V318" t="s">
        <v>796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51.07</v>
      </c>
      <c r="D319">
        <v>75</v>
      </c>
      <c r="E319">
        <v>0.6809333333333334</v>
      </c>
      <c r="F319">
        <v>0.03446250244762091</v>
      </c>
      <c r="G319">
        <v>0.07988890982819097</v>
      </c>
      <c r="H319">
        <v>0.01</v>
      </c>
      <c r="I319">
        <v>0.1153724349270475</v>
      </c>
      <c r="J319" t="s">
        <v>370</v>
      </c>
      <c r="K319" t="s">
        <v>776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0.5293487016856671</v>
      </c>
      <c r="R319" t="s">
        <v>779</v>
      </c>
      <c r="S319" t="s">
        <v>789</v>
      </c>
      <c r="T319">
        <v>14531.035809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68.97</v>
      </c>
      <c r="D320">
        <v>77</v>
      </c>
      <c r="E320">
        <v>0.8957142857142857</v>
      </c>
      <c r="F320">
        <v>0.03363781354211976</v>
      </c>
      <c r="G320">
        <v>0.02227113893732691</v>
      </c>
      <c r="H320">
        <v>0.06</v>
      </c>
      <c r="I320">
        <v>0.1117074718044864</v>
      </c>
      <c r="J320" t="s">
        <v>370</v>
      </c>
      <c r="K320" t="s">
        <v>776</v>
      </c>
      <c r="L320">
        <v>3.85</v>
      </c>
      <c r="M320">
        <v>2.32</v>
      </c>
      <c r="N320">
        <v>0.6025974025974026</v>
      </c>
      <c r="O320">
        <v>7</v>
      </c>
      <c r="P320">
        <v>0.06509372738446295</v>
      </c>
      <c r="Q320">
        <v>-0.09647301643476201</v>
      </c>
      <c r="R320" t="s">
        <v>779</v>
      </c>
      <c r="S320" t="s">
        <v>791</v>
      </c>
      <c r="T320">
        <v>3584.46841</v>
      </c>
      <c r="U320" s="2">
        <v>44502</v>
      </c>
      <c r="V320" t="s">
        <v>794</v>
      </c>
    </row>
    <row r="321" spans="1:22">
      <c r="A321" s="1" t="s">
        <v>341</v>
      </c>
      <c r="B321">
        <f>HYPERLINK("https://www.suredividend.com/sure-analysis-HPE/","Hewlett Packard Enterprise Co")</f>
        <v>0</v>
      </c>
      <c r="C321">
        <v>14.7</v>
      </c>
      <c r="D321">
        <v>16.49</v>
      </c>
      <c r="E321">
        <v>0.8914493632504549</v>
      </c>
      <c r="F321">
        <v>0.0326530612244898</v>
      </c>
      <c r="G321">
        <v>0.02324743386308814</v>
      </c>
      <c r="H321">
        <v>0.06</v>
      </c>
      <c r="I321">
        <v>0.1106671981339331</v>
      </c>
      <c r="J321" t="s">
        <v>370</v>
      </c>
      <c r="K321" t="s">
        <v>370</v>
      </c>
      <c r="L321">
        <v>1.94</v>
      </c>
      <c r="M321">
        <v>0.48</v>
      </c>
      <c r="N321">
        <v>0.2474226804123711</v>
      </c>
      <c r="O321">
        <v>4</v>
      </c>
      <c r="P321">
        <v>0.04910201101938982</v>
      </c>
      <c r="Q321">
        <v>0.4937251300887661</v>
      </c>
      <c r="R321" t="s">
        <v>779</v>
      </c>
      <c r="S321" t="s">
        <v>785</v>
      </c>
      <c r="T321">
        <v>19149.852205</v>
      </c>
      <c r="U321" s="2">
        <v>44443</v>
      </c>
      <c r="V321" t="s">
        <v>794</v>
      </c>
    </row>
    <row r="322" spans="1:22">
      <c r="A322" s="1" t="s">
        <v>342</v>
      </c>
      <c r="B322">
        <f>HYPERLINK("https://www.suredividend.com/sure-analysis-THO/","Thor Industries, Inc.")</f>
        <v>0</v>
      </c>
      <c r="C322">
        <v>114.76</v>
      </c>
      <c r="D322">
        <v>144</v>
      </c>
      <c r="E322">
        <v>0.7969444444444445</v>
      </c>
      <c r="F322">
        <v>0.0149878006273963</v>
      </c>
      <c r="G322">
        <v>0.04644014064435242</v>
      </c>
      <c r="H322">
        <v>0.05</v>
      </c>
      <c r="I322">
        <v>0.1099373596092452</v>
      </c>
      <c r="J322" t="s">
        <v>370</v>
      </c>
      <c r="K322" t="s">
        <v>512</v>
      </c>
      <c r="L322">
        <v>12.5</v>
      </c>
      <c r="M322">
        <v>1.72</v>
      </c>
      <c r="N322">
        <v>0.1376</v>
      </c>
      <c r="O322">
        <v>11</v>
      </c>
      <c r="P322">
        <v>0.03471404488278096</v>
      </c>
      <c r="Q322">
        <v>0.334489180892482</v>
      </c>
      <c r="R322" t="s">
        <v>779</v>
      </c>
      <c r="S322" t="s">
        <v>790</v>
      </c>
      <c r="T322">
        <v>6315.627111</v>
      </c>
      <c r="U322" s="2">
        <v>44491</v>
      </c>
      <c r="V322" t="s">
        <v>801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114.8</v>
      </c>
      <c r="D323">
        <v>143</v>
      </c>
      <c r="E323">
        <v>0.8027972027972028</v>
      </c>
      <c r="F323">
        <v>0.02822299651567944</v>
      </c>
      <c r="G323">
        <v>0.044909866219081</v>
      </c>
      <c r="H323">
        <v>0.04</v>
      </c>
      <c r="I323">
        <v>0.1092513616291821</v>
      </c>
      <c r="J323" t="s">
        <v>370</v>
      </c>
      <c r="K323" t="s">
        <v>370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0.209053089351457</v>
      </c>
      <c r="R323" t="s">
        <v>779</v>
      </c>
      <c r="S323" t="s">
        <v>789</v>
      </c>
      <c r="T323">
        <v>32884.608663</v>
      </c>
      <c r="U323" s="2">
        <v>44505</v>
      </c>
      <c r="V323" t="s">
        <v>801</v>
      </c>
    </row>
    <row r="324" spans="1:22">
      <c r="A324" s="1" t="s">
        <v>344</v>
      </c>
      <c r="B324">
        <f>HYPERLINK("https://www.suredividend.com/sure-analysis-PHM/","PulteGroup Inc")</f>
        <v>0</v>
      </c>
      <c r="C324">
        <v>50.57</v>
      </c>
      <c r="D324">
        <v>61</v>
      </c>
      <c r="E324">
        <v>0.8290163934426229</v>
      </c>
      <c r="F324">
        <v>0.01107375914573858</v>
      </c>
      <c r="G324">
        <v>0.03821518420681191</v>
      </c>
      <c r="H324">
        <v>0.06</v>
      </c>
      <c r="I324">
        <v>0.1090974999005665</v>
      </c>
      <c r="J324" t="s">
        <v>370</v>
      </c>
      <c r="K324" t="s">
        <v>512</v>
      </c>
      <c r="L324">
        <v>7.13</v>
      </c>
      <c r="M324">
        <v>0.5600000000000001</v>
      </c>
      <c r="N324">
        <v>0.07854137447405331</v>
      </c>
      <c r="O324">
        <v>4</v>
      </c>
      <c r="P324">
        <v>0.04861016738492974</v>
      </c>
      <c r="Q324">
        <v>0.210347338579114</v>
      </c>
      <c r="R324" t="s">
        <v>779</v>
      </c>
      <c r="S324" t="s">
        <v>790</v>
      </c>
      <c r="T324">
        <v>13003.615857</v>
      </c>
      <c r="U324" s="2">
        <v>44498</v>
      </c>
      <c r="V324" t="s">
        <v>801</v>
      </c>
    </row>
    <row r="325" spans="1:22">
      <c r="A325" s="1" t="s">
        <v>345</v>
      </c>
      <c r="B325">
        <f>HYPERLINK("https://www.suredividend.com/sure-analysis-EQNR/","Equinor ASA")</f>
        <v>0</v>
      </c>
      <c r="C325">
        <v>26.2</v>
      </c>
      <c r="D325">
        <v>34.8</v>
      </c>
      <c r="E325">
        <v>0.7528735632183908</v>
      </c>
      <c r="F325">
        <v>0.02748091603053435</v>
      </c>
      <c r="G325">
        <v>0.05841403594196382</v>
      </c>
      <c r="H325">
        <v>0.02</v>
      </c>
      <c r="I325">
        <v>0.1077518216732738</v>
      </c>
      <c r="J325" t="s">
        <v>370</v>
      </c>
      <c r="K325" t="s">
        <v>512</v>
      </c>
      <c r="L325">
        <v>2.9</v>
      </c>
      <c r="M325">
        <v>0.72</v>
      </c>
      <c r="N325">
        <v>0.2482758620689655</v>
      </c>
      <c r="O325">
        <v>0</v>
      </c>
      <c r="P325">
        <v>0.1305865872992673</v>
      </c>
      <c r="Q325">
        <v>0.8055124552148271</v>
      </c>
      <c r="R325" t="s">
        <v>779</v>
      </c>
      <c r="S325" t="s">
        <v>792</v>
      </c>
      <c r="T325">
        <v>83396.805299</v>
      </c>
      <c r="U325" s="2">
        <v>44502</v>
      </c>
      <c r="V325" t="s">
        <v>794</v>
      </c>
    </row>
    <row r="326" spans="1:22">
      <c r="A326" s="1" t="s">
        <v>346</v>
      </c>
      <c r="B326">
        <f>HYPERLINK("https://www.suredividend.com/sure-analysis-SNY/","Sanofi")</f>
        <v>0</v>
      </c>
      <c r="C326">
        <v>51.1</v>
      </c>
      <c r="D326">
        <v>61</v>
      </c>
      <c r="E326">
        <v>0.8377049180327869</v>
      </c>
      <c r="F326">
        <v>0.03776908023483366</v>
      </c>
      <c r="G326">
        <v>0.03605255715252431</v>
      </c>
      <c r="H326">
        <v>0.04</v>
      </c>
      <c r="I326">
        <v>0.1073740779997601</v>
      </c>
      <c r="J326" t="s">
        <v>370</v>
      </c>
      <c r="K326" t="s">
        <v>776</v>
      </c>
      <c r="L326">
        <v>3.79</v>
      </c>
      <c r="M326">
        <v>1.93</v>
      </c>
      <c r="N326">
        <v>0.5092348284960422</v>
      </c>
      <c r="O326">
        <v>27</v>
      </c>
      <c r="P326">
        <v>0.04016469901021225</v>
      </c>
      <c r="Q326">
        <v>0.032888874421708</v>
      </c>
      <c r="R326" t="s">
        <v>779</v>
      </c>
      <c r="S326" t="s">
        <v>784</v>
      </c>
      <c r="T326">
        <v>128288.988343</v>
      </c>
      <c r="U326" s="2">
        <v>44501</v>
      </c>
      <c r="V326" t="s">
        <v>795</v>
      </c>
    </row>
    <row r="327" spans="1:22">
      <c r="A327" s="1" t="s">
        <v>347</v>
      </c>
      <c r="B327">
        <f>HYPERLINK("https://www.suredividend.com/sure-analysis-TYCB/","Calvin b. Taylor Bankshares, Inc.")</f>
        <v>0</v>
      </c>
      <c r="C327">
        <v>36</v>
      </c>
      <c r="D327">
        <v>39</v>
      </c>
      <c r="E327">
        <v>0.9230769230769231</v>
      </c>
      <c r="F327">
        <v>0.03222222222222222</v>
      </c>
      <c r="G327">
        <v>0.01613736474159566</v>
      </c>
      <c r="H327">
        <v>0.06</v>
      </c>
      <c r="I327">
        <v>0.105107638598162</v>
      </c>
      <c r="J327" t="s">
        <v>370</v>
      </c>
      <c r="K327" t="s">
        <v>776</v>
      </c>
      <c r="L327">
        <v>3.1</v>
      </c>
      <c r="M327">
        <v>1.16</v>
      </c>
      <c r="N327">
        <v>0.3741935483870967</v>
      </c>
      <c r="O327">
        <v>30</v>
      </c>
      <c r="P327">
        <v>0.07039956279333892</v>
      </c>
      <c r="Q327">
        <v>0.074325413167648</v>
      </c>
      <c r="R327" t="s">
        <v>779</v>
      </c>
      <c r="S327" t="s">
        <v>789</v>
      </c>
      <c r="T327">
        <v>99.394704</v>
      </c>
      <c r="U327" s="2">
        <v>44424</v>
      </c>
      <c r="V327" t="s">
        <v>797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63.86</v>
      </c>
      <c r="D328">
        <v>73</v>
      </c>
      <c r="E328">
        <v>0.8747945205479452</v>
      </c>
      <c r="F328">
        <v>0.005010961478233636</v>
      </c>
      <c r="G328">
        <v>0.02711433182481127</v>
      </c>
      <c r="H328">
        <v>0.07000000000000001</v>
      </c>
      <c r="I328">
        <v>0.1029789734245545</v>
      </c>
      <c r="J328" t="s">
        <v>370</v>
      </c>
      <c r="K328" t="s">
        <v>777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0.714764366620249</v>
      </c>
      <c r="R328" t="s">
        <v>779</v>
      </c>
      <c r="S328" t="s">
        <v>785</v>
      </c>
      <c r="T328">
        <v>9213.572322</v>
      </c>
      <c r="U328" s="2">
        <v>44491</v>
      </c>
      <c r="V328" t="s">
        <v>801</v>
      </c>
    </row>
    <row r="329" spans="1:22">
      <c r="A329" s="1" t="s">
        <v>349</v>
      </c>
      <c r="B329">
        <f>HYPERLINK("https://www.suredividend.com/sure-analysis-LRCX/","Lam Research Corp.")</f>
        <v>0</v>
      </c>
      <c r="C329">
        <v>630.26</v>
      </c>
      <c r="D329">
        <v>615</v>
      </c>
      <c r="E329">
        <v>1.024813008130081</v>
      </c>
      <c r="F329">
        <v>0.008250563259607147</v>
      </c>
      <c r="G329">
        <v>-0.004890037615960074</v>
      </c>
      <c r="H329">
        <v>0.1</v>
      </c>
      <c r="I329">
        <v>0.1020175214409731</v>
      </c>
      <c r="J329" t="s">
        <v>370</v>
      </c>
      <c r="K329" t="s">
        <v>777</v>
      </c>
      <c r="L329">
        <v>34.16</v>
      </c>
      <c r="M329">
        <v>5.2</v>
      </c>
      <c r="N329">
        <v>0.1522248243559719</v>
      </c>
      <c r="O329">
        <v>7</v>
      </c>
      <c r="P329">
        <v>0.08997698704834534</v>
      </c>
      <c r="Q329">
        <v>0.478596789340804</v>
      </c>
      <c r="R329" t="s">
        <v>779</v>
      </c>
      <c r="S329" t="s">
        <v>785</v>
      </c>
      <c r="T329">
        <v>87917.522381</v>
      </c>
      <c r="U329" s="2">
        <v>44499</v>
      </c>
      <c r="V329" t="s">
        <v>796</v>
      </c>
    </row>
    <row r="330" spans="1:22">
      <c r="A330" s="1" t="s">
        <v>350</v>
      </c>
      <c r="B330">
        <f>HYPERLINK("https://www.suredividend.com/sure-analysis-OGE/","Oge Energy Corp.")</f>
        <v>0</v>
      </c>
      <c r="C330">
        <v>34.95</v>
      </c>
      <c r="D330">
        <v>37</v>
      </c>
      <c r="E330">
        <v>0.9445945945945947</v>
      </c>
      <c r="F330">
        <v>0.04692417739628039</v>
      </c>
      <c r="G330">
        <v>0.01146511514721338</v>
      </c>
      <c r="H330">
        <v>0.05</v>
      </c>
      <c r="I330">
        <v>0.101938700678146</v>
      </c>
      <c r="J330" t="s">
        <v>370</v>
      </c>
      <c r="K330" t="s">
        <v>776</v>
      </c>
      <c r="L330">
        <v>2.17</v>
      </c>
      <c r="M330">
        <v>1.64</v>
      </c>
      <c r="N330">
        <v>0.7557603686635944</v>
      </c>
      <c r="O330">
        <v>15</v>
      </c>
      <c r="P330">
        <v>0.05168994430952489</v>
      </c>
      <c r="Q330">
        <v>0.065254575429241</v>
      </c>
      <c r="R330" t="s">
        <v>779</v>
      </c>
      <c r="S330" t="s">
        <v>791</v>
      </c>
      <c r="T330">
        <v>6894.004993</v>
      </c>
      <c r="U330" s="2">
        <v>44508</v>
      </c>
      <c r="V330" t="s">
        <v>802</v>
      </c>
    </row>
    <row r="331" spans="1:22">
      <c r="A331" s="1" t="s">
        <v>351</v>
      </c>
      <c r="B331">
        <f>HYPERLINK("https://www.suredividend.com/sure-analysis-DFS/","Discover Financial Services")</f>
        <v>0</v>
      </c>
      <c r="C331">
        <v>118.18</v>
      </c>
      <c r="D331">
        <v>154</v>
      </c>
      <c r="E331">
        <v>0.7674025974025974</v>
      </c>
      <c r="F331">
        <v>0.01692333728211203</v>
      </c>
      <c r="G331">
        <v>0.0543755999196438</v>
      </c>
      <c r="H331">
        <v>0.03</v>
      </c>
      <c r="I331">
        <v>0.1001833173762363</v>
      </c>
      <c r="J331" t="s">
        <v>370</v>
      </c>
      <c r="K331" t="s">
        <v>512</v>
      </c>
      <c r="L331">
        <v>17.1</v>
      </c>
      <c r="M331">
        <v>2</v>
      </c>
      <c r="N331">
        <v>0.1169590643274854</v>
      </c>
      <c r="O331">
        <v>10</v>
      </c>
      <c r="P331">
        <v>0.0602809527753625</v>
      </c>
      <c r="Q331">
        <v>0.5873226820756391</v>
      </c>
      <c r="R331" t="s">
        <v>779</v>
      </c>
      <c r="S331" t="s">
        <v>789</v>
      </c>
      <c r="T331">
        <v>35004.968058</v>
      </c>
      <c r="U331" s="2">
        <v>44499</v>
      </c>
      <c r="V331" t="s">
        <v>797</v>
      </c>
    </row>
    <row r="332" spans="1:22">
      <c r="A332" s="1" t="s">
        <v>352</v>
      </c>
      <c r="B332">
        <f>HYPERLINK("https://www.suredividend.com/sure-analysis-AEG/","Aegon N. V.")</f>
        <v>0</v>
      </c>
      <c r="C332">
        <v>4.91</v>
      </c>
      <c r="D332">
        <v>5.6</v>
      </c>
      <c r="E332">
        <v>0.8767857142857144</v>
      </c>
      <c r="F332">
        <v>0.03462321792260693</v>
      </c>
      <c r="G332">
        <v>0.02664738899373997</v>
      </c>
      <c r="H332">
        <v>0.04</v>
      </c>
      <c r="I332">
        <v>0.09953617975246809</v>
      </c>
      <c r="J332" t="s">
        <v>370</v>
      </c>
      <c r="K332" t="s">
        <v>370</v>
      </c>
      <c r="L332">
        <v>0.7</v>
      </c>
      <c r="M332">
        <v>0.17</v>
      </c>
      <c r="N332">
        <v>0.2428571428571429</v>
      </c>
      <c r="O332">
        <v>0</v>
      </c>
      <c r="P332">
        <v>0.0801851873035635</v>
      </c>
      <c r="Q332">
        <v>0.488539161669355</v>
      </c>
      <c r="R332" t="s">
        <v>779</v>
      </c>
      <c r="S332" t="s">
        <v>789</v>
      </c>
      <c r="T332">
        <v>10294.129148</v>
      </c>
      <c r="U332" s="2">
        <v>44438</v>
      </c>
      <c r="V332" t="s">
        <v>802</v>
      </c>
    </row>
    <row r="333" spans="1:22">
      <c r="A333" s="1" t="s">
        <v>353</v>
      </c>
      <c r="B333">
        <f>HYPERLINK("https://www.suredividend.com/sure-analysis-EVRG/","Evergy Inc")</f>
        <v>0</v>
      </c>
      <c r="C333">
        <v>65.59999999999999</v>
      </c>
      <c r="D333">
        <v>65</v>
      </c>
      <c r="E333">
        <v>1.009230769230769</v>
      </c>
      <c r="F333">
        <v>0.03490853658536586</v>
      </c>
      <c r="G333">
        <v>-0.001835997701276182</v>
      </c>
      <c r="H333">
        <v>0.07000000000000001</v>
      </c>
      <c r="I333">
        <v>0.09945736427495744</v>
      </c>
      <c r="J333" t="s">
        <v>370</v>
      </c>
      <c r="K333" t="s">
        <v>776</v>
      </c>
      <c r="L333">
        <v>3.55</v>
      </c>
      <c r="M333">
        <v>2.29</v>
      </c>
      <c r="N333">
        <v>0.6450704225352113</v>
      </c>
      <c r="O333">
        <v>17</v>
      </c>
      <c r="P333">
        <v>0.07318952131901812</v>
      </c>
      <c r="Q333">
        <v>0.170728519854285</v>
      </c>
      <c r="R333" t="s">
        <v>779</v>
      </c>
      <c r="S333" t="s">
        <v>791</v>
      </c>
      <c r="T333">
        <v>14790.02415</v>
      </c>
      <c r="U333" s="2">
        <v>44508</v>
      </c>
      <c r="V333" t="s">
        <v>802</v>
      </c>
    </row>
    <row r="334" spans="1:22">
      <c r="A334" s="1" t="s">
        <v>354</v>
      </c>
      <c r="B334">
        <f>HYPERLINK("https://www.suredividend.com/sure-analysis-PFE/","Pfizer Inc.")</f>
        <v>0</v>
      </c>
      <c r="C334">
        <v>49.65</v>
      </c>
      <c r="D334">
        <v>56</v>
      </c>
      <c r="E334">
        <v>0.8866071428571428</v>
      </c>
      <c r="F334">
        <v>0.03141993957703928</v>
      </c>
      <c r="G334">
        <v>0.02436269685158288</v>
      </c>
      <c r="H334">
        <v>0.05</v>
      </c>
      <c r="I334">
        <v>0.09875454063014444</v>
      </c>
      <c r="J334" t="s">
        <v>370</v>
      </c>
      <c r="K334" t="s">
        <v>370</v>
      </c>
      <c r="L334">
        <v>4.15</v>
      </c>
      <c r="M334">
        <v>1.56</v>
      </c>
      <c r="N334">
        <v>0.3759036144578313</v>
      </c>
      <c r="O334">
        <v>12</v>
      </c>
      <c r="P334">
        <v>0.01005227214699711</v>
      </c>
      <c r="Q334">
        <v>0.338058107184562</v>
      </c>
      <c r="R334" t="s">
        <v>779</v>
      </c>
      <c r="S334" t="s">
        <v>784</v>
      </c>
      <c r="T334">
        <v>278820.611944</v>
      </c>
      <c r="U334" s="2">
        <v>44504</v>
      </c>
      <c r="V334" t="s">
        <v>799</v>
      </c>
    </row>
    <row r="335" spans="1:22">
      <c r="A335" s="1" t="s">
        <v>355</v>
      </c>
      <c r="B335">
        <f>HYPERLINK("https://www.suredividend.com/sure-analysis-DHI/","D.R. Horton Inc.")</f>
        <v>0</v>
      </c>
      <c r="C335">
        <v>97.3</v>
      </c>
      <c r="D335">
        <v>106</v>
      </c>
      <c r="E335">
        <v>0.9179245283018868</v>
      </c>
      <c r="F335">
        <v>0.009249743062692703</v>
      </c>
      <c r="G335">
        <v>0.01727554660584008</v>
      </c>
      <c r="H335">
        <v>0.07000000000000001</v>
      </c>
      <c r="I335">
        <v>0.09719662173280907</v>
      </c>
      <c r="J335" t="s">
        <v>370</v>
      </c>
      <c r="K335" t="s">
        <v>512</v>
      </c>
      <c r="L335">
        <v>11.2</v>
      </c>
      <c r="M335">
        <v>0.9</v>
      </c>
      <c r="N335">
        <v>0.08035714285714286</v>
      </c>
      <c r="O335">
        <v>8</v>
      </c>
      <c r="P335">
        <v>0.100082101138866</v>
      </c>
      <c r="Q335">
        <v>0.343998460703266</v>
      </c>
      <c r="R335" t="s">
        <v>779</v>
      </c>
      <c r="S335" t="s">
        <v>790</v>
      </c>
      <c r="T335">
        <v>35026.810622</v>
      </c>
      <c r="U335" s="2">
        <v>44403</v>
      </c>
      <c r="V335" t="s">
        <v>801</v>
      </c>
    </row>
    <row r="336" spans="1:22">
      <c r="A336" s="1" t="s">
        <v>356</v>
      </c>
      <c r="B336">
        <f>HYPERLINK("https://www.suredividend.com/sure-analysis-HPQ/","HP Inc")</f>
        <v>0</v>
      </c>
      <c r="C336">
        <v>31.35</v>
      </c>
      <c r="D336">
        <v>36</v>
      </c>
      <c r="E336">
        <v>0.8708333333333333</v>
      </c>
      <c r="F336">
        <v>0.03189792663476874</v>
      </c>
      <c r="G336">
        <v>0.02804704980191319</v>
      </c>
      <c r="H336">
        <v>0.04</v>
      </c>
      <c r="I336">
        <v>0.09688993475408192</v>
      </c>
      <c r="J336" t="s">
        <v>370</v>
      </c>
      <c r="K336" t="s">
        <v>370</v>
      </c>
      <c r="L336">
        <v>3.59</v>
      </c>
      <c r="M336">
        <v>1</v>
      </c>
      <c r="N336">
        <v>0.2785515320334262</v>
      </c>
      <c r="O336">
        <v>11</v>
      </c>
      <c r="P336">
        <v>0.0602809527753625</v>
      </c>
      <c r="Q336">
        <v>0.657127680073326</v>
      </c>
      <c r="R336" t="s">
        <v>779</v>
      </c>
      <c r="S336" t="s">
        <v>785</v>
      </c>
      <c r="T336">
        <v>36673.146243</v>
      </c>
      <c r="U336" s="2">
        <v>44440</v>
      </c>
      <c r="V336" t="s">
        <v>797</v>
      </c>
    </row>
    <row r="337" spans="1:22">
      <c r="A337" s="1" t="s">
        <v>357</v>
      </c>
      <c r="B337">
        <f>HYPERLINK("https://www.suredividend.com/sure-analysis-UL/","Unilever plc")</f>
        <v>0</v>
      </c>
      <c r="C337">
        <v>52.32</v>
      </c>
      <c r="D337">
        <v>56</v>
      </c>
      <c r="E337">
        <v>0.9342857142857143</v>
      </c>
      <c r="F337">
        <v>0.03918195718654434</v>
      </c>
      <c r="G337">
        <v>0.01368742341740248</v>
      </c>
      <c r="H337">
        <v>0.05</v>
      </c>
      <c r="I337">
        <v>0.09602320195387049</v>
      </c>
      <c r="J337" t="s">
        <v>370</v>
      </c>
      <c r="K337" t="s">
        <v>776</v>
      </c>
      <c r="L337">
        <v>3.1</v>
      </c>
      <c r="M337">
        <v>2.05</v>
      </c>
      <c r="N337">
        <v>0.6612903225806451</v>
      </c>
      <c r="O337">
        <v>6</v>
      </c>
      <c r="P337">
        <v>0.03202799005791723</v>
      </c>
      <c r="Q337">
        <v>-0.132957052781198</v>
      </c>
      <c r="R337" t="s">
        <v>779</v>
      </c>
      <c r="S337" t="s">
        <v>788</v>
      </c>
      <c r="T337">
        <v>135089.327579</v>
      </c>
      <c r="U337" s="2">
        <v>44400</v>
      </c>
      <c r="V337" t="s">
        <v>802</v>
      </c>
    </row>
    <row r="338" spans="1:22">
      <c r="A338" s="1" t="s">
        <v>358</v>
      </c>
      <c r="B338">
        <f>HYPERLINK("https://www.suredividend.com/sure-analysis-BASFY/","Basf SE")</f>
        <v>0</v>
      </c>
      <c r="C338">
        <v>17.74</v>
      </c>
      <c r="D338">
        <v>19.6</v>
      </c>
      <c r="E338">
        <v>0.9051020408163264</v>
      </c>
      <c r="F338">
        <v>0.05298759864712514</v>
      </c>
      <c r="G338">
        <v>0.02014167822498192</v>
      </c>
      <c r="H338">
        <v>0.03</v>
      </c>
      <c r="I338">
        <v>0.09381339504992248</v>
      </c>
      <c r="J338" t="s">
        <v>370</v>
      </c>
      <c r="K338" t="s">
        <v>775</v>
      </c>
      <c r="L338">
        <v>1.51</v>
      </c>
      <c r="M338">
        <v>0.9399999999999999</v>
      </c>
      <c r="N338">
        <v>0.6225165562913907</v>
      </c>
      <c r="O338">
        <v>0</v>
      </c>
      <c r="P338">
        <v>0.02431988176177757</v>
      </c>
      <c r="Q338">
        <v>0.137634857132022</v>
      </c>
      <c r="R338" t="s">
        <v>779</v>
      </c>
      <c r="S338" t="s">
        <v>787</v>
      </c>
      <c r="T338">
        <v>66130.465968</v>
      </c>
      <c r="U338" s="2">
        <v>44497</v>
      </c>
      <c r="V338" t="s">
        <v>805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50.13</v>
      </c>
      <c r="D339">
        <v>63</v>
      </c>
      <c r="E339">
        <v>0.7957142857142857</v>
      </c>
      <c r="F339">
        <v>0.01755435866746459</v>
      </c>
      <c r="G339">
        <v>0.04676349594582119</v>
      </c>
      <c r="H339">
        <v>0.03</v>
      </c>
      <c r="I339">
        <v>0.09328107986417722</v>
      </c>
      <c r="J339" t="s">
        <v>370</v>
      </c>
      <c r="K339" t="s">
        <v>512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0.705903350274515</v>
      </c>
      <c r="R339" t="s">
        <v>779</v>
      </c>
      <c r="S339" t="s">
        <v>789</v>
      </c>
      <c r="T339">
        <v>27461.465502</v>
      </c>
      <c r="U339" s="2">
        <v>44500</v>
      </c>
      <c r="V339" t="s">
        <v>797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57.44</v>
      </c>
      <c r="D340">
        <v>61</v>
      </c>
      <c r="E340">
        <v>0.941639344262295</v>
      </c>
      <c r="F340">
        <v>0.06267409470752089</v>
      </c>
      <c r="G340">
        <v>0.01209919808712256</v>
      </c>
      <c r="H340">
        <v>0.03</v>
      </c>
      <c r="I340">
        <v>0.09214651772098614</v>
      </c>
      <c r="J340" t="s">
        <v>370</v>
      </c>
      <c r="K340" t="s">
        <v>776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-0.09601516568251901</v>
      </c>
      <c r="R340" t="s">
        <v>781</v>
      </c>
      <c r="S340" t="s">
        <v>793</v>
      </c>
      <c r="T340">
        <v>2588.72482</v>
      </c>
      <c r="U340" s="2">
        <v>44513</v>
      </c>
      <c r="V340" t="s">
        <v>801</v>
      </c>
    </row>
    <row r="341" spans="1:22">
      <c r="A341" s="1" t="s">
        <v>361</v>
      </c>
      <c r="B341">
        <f>HYPERLINK("https://www.suredividend.com/sure-analysis-FAF/","First American Financial Corp")</f>
        <v>0</v>
      </c>
      <c r="C341">
        <v>75.31999999999999</v>
      </c>
      <c r="D341">
        <v>82</v>
      </c>
      <c r="E341">
        <v>0.9185365853658536</v>
      </c>
      <c r="F341">
        <v>0.02575677110993096</v>
      </c>
      <c r="G341">
        <v>0.01713994031341137</v>
      </c>
      <c r="H341">
        <v>0.05</v>
      </c>
      <c r="I341">
        <v>0.09006196409741296</v>
      </c>
      <c r="J341" t="s">
        <v>370</v>
      </c>
      <c r="K341" t="s">
        <v>370</v>
      </c>
      <c r="L341">
        <v>7.48</v>
      </c>
      <c r="M341">
        <v>1.94</v>
      </c>
      <c r="N341">
        <v>0.2593582887700535</v>
      </c>
      <c r="O341">
        <v>10</v>
      </c>
      <c r="P341">
        <v>0.05034020601589084</v>
      </c>
      <c r="Q341">
        <v>0.6247261607251841</v>
      </c>
      <c r="R341" t="s">
        <v>779</v>
      </c>
      <c r="S341" t="s">
        <v>789</v>
      </c>
      <c r="T341">
        <v>8328.021228</v>
      </c>
      <c r="U341" s="2">
        <v>44494</v>
      </c>
      <c r="V341" t="s">
        <v>801</v>
      </c>
    </row>
    <row r="342" spans="1:22">
      <c r="A342" s="1" t="s">
        <v>362</v>
      </c>
      <c r="B342">
        <f>HYPERLINK("https://www.suredividend.com/sure-analysis-POR/","Portland General Electric Co")</f>
        <v>0</v>
      </c>
      <c r="C342">
        <v>49.93</v>
      </c>
      <c r="D342">
        <v>52</v>
      </c>
      <c r="E342">
        <v>0.9601923076923077</v>
      </c>
      <c r="F342">
        <v>0.03444822751852594</v>
      </c>
      <c r="G342">
        <v>0.008157430810521005</v>
      </c>
      <c r="H342">
        <v>0.05</v>
      </c>
      <c r="I342">
        <v>0.08947688370954321</v>
      </c>
      <c r="J342" t="s">
        <v>370</v>
      </c>
      <c r="K342" t="s">
        <v>776</v>
      </c>
      <c r="L342">
        <v>2.78</v>
      </c>
      <c r="M342">
        <v>1.72</v>
      </c>
      <c r="N342">
        <v>0.6187050359712231</v>
      </c>
      <c r="O342">
        <v>14</v>
      </c>
      <c r="P342">
        <v>0.05983895403096029</v>
      </c>
      <c r="Q342">
        <v>0.168755506294938</v>
      </c>
      <c r="R342" t="s">
        <v>779</v>
      </c>
      <c r="S342" t="s">
        <v>791</v>
      </c>
      <c r="T342">
        <v>4412.364402</v>
      </c>
      <c r="U342" s="2">
        <v>44498</v>
      </c>
      <c r="V342" t="s">
        <v>801</v>
      </c>
    </row>
    <row r="343" spans="1:22">
      <c r="A343" s="1" t="s">
        <v>363</v>
      </c>
      <c r="B343">
        <f>HYPERLINK("https://www.suredividend.com/sure-analysis-STN/","Stantec Inc")</f>
        <v>0</v>
      </c>
      <c r="C343">
        <v>56.12</v>
      </c>
      <c r="D343">
        <v>49</v>
      </c>
      <c r="E343">
        <v>1.14530612244898</v>
      </c>
      <c r="F343">
        <v>0.009444048467569495</v>
      </c>
      <c r="G343">
        <v>-0.02676956109011375</v>
      </c>
      <c r="H343">
        <v>0.11</v>
      </c>
      <c r="I343">
        <v>0.08845367671940574</v>
      </c>
      <c r="J343" t="s">
        <v>370</v>
      </c>
      <c r="K343" t="s">
        <v>777</v>
      </c>
      <c r="L343">
        <v>1.95</v>
      </c>
      <c r="M343">
        <v>0.53</v>
      </c>
      <c r="N343">
        <v>0.2717948717948718</v>
      </c>
      <c r="O343">
        <v>3</v>
      </c>
      <c r="P343">
        <v>0.06022122873100355</v>
      </c>
      <c r="Q343">
        <v>0.939447395950852</v>
      </c>
      <c r="R343" t="s">
        <v>779</v>
      </c>
      <c r="S343" t="s">
        <v>786</v>
      </c>
      <c r="T343">
        <v>6306.026016</v>
      </c>
      <c r="U343" s="2">
        <v>44511</v>
      </c>
      <c r="V343" t="s">
        <v>794</v>
      </c>
    </row>
    <row r="344" spans="1:22">
      <c r="A344" s="1" t="s">
        <v>364</v>
      </c>
      <c r="B344">
        <f>HYPERLINK("https://www.suredividend.com/sure-analysis-MPLX/","MPLX LP")</f>
        <v>0</v>
      </c>
      <c r="C344">
        <v>30.92</v>
      </c>
      <c r="D344">
        <v>29</v>
      </c>
      <c r="E344">
        <v>1.066206896551724</v>
      </c>
      <c r="F344">
        <v>0.09120310478654592</v>
      </c>
      <c r="G344">
        <v>-0.01273963375262566</v>
      </c>
      <c r="H344">
        <v>0.02</v>
      </c>
      <c r="I344">
        <v>0.08724931070924113</v>
      </c>
      <c r="J344" t="s">
        <v>370</v>
      </c>
      <c r="K344" t="s">
        <v>775</v>
      </c>
      <c r="L344">
        <v>4.1</v>
      </c>
      <c r="M344">
        <v>2.82</v>
      </c>
      <c r="N344">
        <v>0.6878048780487805</v>
      </c>
      <c r="O344">
        <v>9</v>
      </c>
      <c r="P344">
        <v>0.01977005769334617</v>
      </c>
      <c r="Q344">
        <v>0.7148285171482851</v>
      </c>
      <c r="R344" t="s">
        <v>780</v>
      </c>
      <c r="S344" t="s">
        <v>792</v>
      </c>
      <c r="T344">
        <v>31483.190505</v>
      </c>
      <c r="U344" s="2">
        <v>44509</v>
      </c>
      <c r="V344" t="s">
        <v>800</v>
      </c>
    </row>
    <row r="345" spans="1:22">
      <c r="A345" s="1" t="s">
        <v>365</v>
      </c>
      <c r="B345">
        <f>HYPERLINK("https://www.suredividend.com/sure-analysis-CC/","Chemours Company")</f>
        <v>0</v>
      </c>
      <c r="C345">
        <v>33.1</v>
      </c>
      <c r="D345">
        <v>39</v>
      </c>
      <c r="E345">
        <v>0.8487179487179487</v>
      </c>
      <c r="F345">
        <v>0.03021148036253776</v>
      </c>
      <c r="G345">
        <v>0.03334971172034384</v>
      </c>
      <c r="H345">
        <v>0.03</v>
      </c>
      <c r="I345">
        <v>0.08691446148391813</v>
      </c>
      <c r="J345" t="s">
        <v>370</v>
      </c>
      <c r="K345" t="s">
        <v>370</v>
      </c>
      <c r="L345">
        <v>3.93</v>
      </c>
      <c r="M345">
        <v>1</v>
      </c>
      <c r="N345">
        <v>0.2544529262086514</v>
      </c>
      <c r="O345">
        <v>0</v>
      </c>
      <c r="P345">
        <v>0</v>
      </c>
      <c r="Q345">
        <v>0.536764637729518</v>
      </c>
      <c r="R345" t="s">
        <v>779</v>
      </c>
      <c r="S345" t="s">
        <v>787</v>
      </c>
      <c r="T345">
        <v>5403.781653</v>
      </c>
      <c r="U345" s="2">
        <v>44505</v>
      </c>
      <c r="V345" t="s">
        <v>795</v>
      </c>
    </row>
    <row r="346" spans="1:22">
      <c r="A346" s="1" t="s">
        <v>366</v>
      </c>
      <c r="B346">
        <f>HYPERLINK("https://www.suredividend.com/sure-analysis-SMG/","Scotts Miracle-Gro Company")</f>
        <v>0</v>
      </c>
      <c r="C346">
        <v>171.45</v>
      </c>
      <c r="D346">
        <v>174</v>
      </c>
      <c r="E346">
        <v>0.9853448275862068</v>
      </c>
      <c r="F346">
        <v>0.01539807524059493</v>
      </c>
      <c r="G346">
        <v>0.002957087644572809</v>
      </c>
      <c r="H346">
        <v>0.07000000000000001</v>
      </c>
      <c r="I346">
        <v>0.08668561436496525</v>
      </c>
      <c r="J346" t="s">
        <v>370</v>
      </c>
      <c r="K346" t="s">
        <v>512</v>
      </c>
      <c r="L346">
        <v>8.699999999999999</v>
      </c>
      <c r="M346">
        <v>2.64</v>
      </c>
      <c r="N346">
        <v>0.303448275862069</v>
      </c>
      <c r="O346">
        <v>12</v>
      </c>
      <c r="P346">
        <v>0.05982499004041508</v>
      </c>
      <c r="Q346">
        <v>0.073474339235854</v>
      </c>
      <c r="R346" t="s">
        <v>779</v>
      </c>
      <c r="S346" t="s">
        <v>787</v>
      </c>
      <c r="T346">
        <v>9870.684528</v>
      </c>
      <c r="U346" s="2">
        <v>44503</v>
      </c>
      <c r="V346" t="s">
        <v>794</v>
      </c>
    </row>
    <row r="347" spans="1:22">
      <c r="A347" s="1" t="s">
        <v>367</v>
      </c>
      <c r="B347">
        <f>HYPERLINK("https://www.suredividend.com/sure-analysis-LNC/","Lincoln National Corp.")</f>
        <v>0</v>
      </c>
      <c r="C347">
        <v>74.59999999999999</v>
      </c>
      <c r="D347">
        <v>76</v>
      </c>
      <c r="E347">
        <v>0.981578947368421</v>
      </c>
      <c r="F347">
        <v>0.02412868632707775</v>
      </c>
      <c r="G347">
        <v>0.003725489062026188</v>
      </c>
      <c r="H347">
        <v>0.06</v>
      </c>
      <c r="I347">
        <v>0.08614983602124648</v>
      </c>
      <c r="J347" t="s">
        <v>370</v>
      </c>
      <c r="K347" t="s">
        <v>370</v>
      </c>
      <c r="L347">
        <v>8.960000000000001</v>
      </c>
      <c r="M347">
        <v>1.8</v>
      </c>
      <c r="N347">
        <v>0.2008928571428571</v>
      </c>
      <c r="O347">
        <v>11</v>
      </c>
      <c r="P347">
        <v>0.06961037572506878</v>
      </c>
      <c r="Q347">
        <v>0.8180876411478291</v>
      </c>
      <c r="R347" t="s">
        <v>779</v>
      </c>
      <c r="S347" t="s">
        <v>789</v>
      </c>
      <c r="T347">
        <v>13320.037319</v>
      </c>
      <c r="U347" s="2">
        <v>44505</v>
      </c>
      <c r="V347" t="s">
        <v>801</v>
      </c>
    </row>
    <row r="348" spans="1:22">
      <c r="A348" s="1" t="s">
        <v>368</v>
      </c>
      <c r="B348">
        <f>HYPERLINK("https://www.suredividend.com/sure-analysis-NAVI/","Navient Corp")</f>
        <v>0</v>
      </c>
      <c r="C348">
        <v>20.29</v>
      </c>
      <c r="D348">
        <v>26</v>
      </c>
      <c r="E348">
        <v>0.7803846153846153</v>
      </c>
      <c r="F348">
        <v>0.03154263183834401</v>
      </c>
      <c r="G348">
        <v>0.05084402734860793</v>
      </c>
      <c r="H348">
        <v>0.01</v>
      </c>
      <c r="I348">
        <v>0.08512136417990845</v>
      </c>
      <c r="J348" t="s">
        <v>370</v>
      </c>
      <c r="K348" t="s">
        <v>370</v>
      </c>
      <c r="L348">
        <v>4.35</v>
      </c>
      <c r="M348">
        <v>0.64</v>
      </c>
      <c r="N348">
        <v>0.1471264367816092</v>
      </c>
      <c r="O348">
        <v>0</v>
      </c>
      <c r="P348">
        <v>0</v>
      </c>
      <c r="Q348">
        <v>1.063580029220615</v>
      </c>
      <c r="R348" t="s">
        <v>779</v>
      </c>
      <c r="S348" t="s">
        <v>789</v>
      </c>
      <c r="T348">
        <v>3300.810179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HYPERLINK("https://www.suredividend.com/sure-analysis-PFG/","Principal Financial Group Inc")</f>
        <v>0</v>
      </c>
      <c r="C349">
        <v>71.69</v>
      </c>
      <c r="D349">
        <v>72</v>
      </c>
      <c r="E349">
        <v>0.9956944444444444</v>
      </c>
      <c r="F349">
        <v>0.03570930394755196</v>
      </c>
      <c r="G349">
        <v>0.0008633426961985879</v>
      </c>
      <c r="H349">
        <v>0.05</v>
      </c>
      <c r="I349">
        <v>0.08379648739013135</v>
      </c>
      <c r="J349" t="s">
        <v>370</v>
      </c>
      <c r="K349" t="s">
        <v>370</v>
      </c>
      <c r="L349">
        <v>6.55</v>
      </c>
      <c r="M349">
        <v>2.56</v>
      </c>
      <c r="N349">
        <v>0.3908396946564885</v>
      </c>
      <c r="O349">
        <v>15</v>
      </c>
      <c r="P349">
        <v>0.06025622492066018</v>
      </c>
      <c r="Q349">
        <v>0.5637815694443501</v>
      </c>
      <c r="R349" t="s">
        <v>779</v>
      </c>
      <c r="S349" t="s">
        <v>789</v>
      </c>
      <c r="T349">
        <v>18446.181077</v>
      </c>
      <c r="U349" s="2">
        <v>44505</v>
      </c>
      <c r="V349" t="s">
        <v>797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68.73999999999999</v>
      </c>
      <c r="D350">
        <v>105</v>
      </c>
      <c r="E350">
        <v>0.6546666666666666</v>
      </c>
      <c r="F350">
        <v>0.02967704393366308</v>
      </c>
      <c r="G350">
        <v>0.08841859854242351</v>
      </c>
      <c r="H350">
        <v>-0.03</v>
      </c>
      <c r="I350">
        <v>0.08288269990834118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0.4646925649274321</v>
      </c>
      <c r="R350" t="s">
        <v>779</v>
      </c>
      <c r="S350" t="s">
        <v>789</v>
      </c>
      <c r="T350">
        <v>140172.463256</v>
      </c>
      <c r="U350" s="2">
        <v>44485</v>
      </c>
      <c r="V350" t="s">
        <v>798</v>
      </c>
    </row>
    <row r="351" spans="1:22">
      <c r="A351" s="1" t="s">
        <v>371</v>
      </c>
      <c r="B351">
        <f>HYPERLINK("https://www.suredividend.com/sure-analysis-CE/","Celanese Corp")</f>
        <v>0</v>
      </c>
      <c r="C351">
        <v>167.42</v>
      </c>
      <c r="D351">
        <v>197</v>
      </c>
      <c r="E351">
        <v>0.8498477157360406</v>
      </c>
      <c r="F351">
        <v>0.01624656552383228</v>
      </c>
      <c r="G351">
        <v>0.0330748234820375</v>
      </c>
      <c r="H351">
        <v>0.03</v>
      </c>
      <c r="I351">
        <v>0.08056749776122429</v>
      </c>
      <c r="J351" t="s">
        <v>370</v>
      </c>
      <c r="K351" t="s">
        <v>512</v>
      </c>
      <c r="L351">
        <v>17.12</v>
      </c>
      <c r="M351">
        <v>2.72</v>
      </c>
      <c r="N351">
        <v>0.1588785046728972</v>
      </c>
      <c r="O351">
        <v>11</v>
      </c>
      <c r="P351">
        <v>0.09997050830829379</v>
      </c>
      <c r="Q351">
        <v>0.349600783756876</v>
      </c>
      <c r="R351" t="s">
        <v>779</v>
      </c>
      <c r="S351" t="s">
        <v>786</v>
      </c>
      <c r="T351">
        <v>18522.19737</v>
      </c>
      <c r="U351" s="2">
        <v>44494</v>
      </c>
      <c r="V351" t="s">
        <v>801</v>
      </c>
    </row>
    <row r="352" spans="1:22">
      <c r="A352" s="1" t="s">
        <v>372</v>
      </c>
      <c r="B352">
        <f>HYPERLINK("https://www.suredividend.com/sure-analysis-PM/","Philip Morris International Inc")</f>
        <v>0</v>
      </c>
      <c r="C352">
        <v>95.36</v>
      </c>
      <c r="D352">
        <v>97</v>
      </c>
      <c r="E352">
        <v>0.9830927835051546</v>
      </c>
      <c r="F352">
        <v>0.05243288590604027</v>
      </c>
      <c r="G352">
        <v>0.003416176914350144</v>
      </c>
      <c r="H352">
        <v>0.03</v>
      </c>
      <c r="I352">
        <v>0.07951702532725369</v>
      </c>
      <c r="J352" t="s">
        <v>370</v>
      </c>
      <c r="K352" t="s">
        <v>776</v>
      </c>
      <c r="L352">
        <v>6.04</v>
      </c>
      <c r="M352">
        <v>5</v>
      </c>
      <c r="N352">
        <v>0.8278145695364238</v>
      </c>
      <c r="O352">
        <v>14</v>
      </c>
      <c r="P352">
        <v>0.03012896281839894</v>
      </c>
      <c r="Q352">
        <v>0.315342001413062</v>
      </c>
      <c r="R352" t="s">
        <v>779</v>
      </c>
      <c r="S352" t="s">
        <v>788</v>
      </c>
      <c r="T352">
        <v>147524.990957</v>
      </c>
      <c r="U352" s="2">
        <v>44488</v>
      </c>
      <c r="V352" t="s">
        <v>794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24.84</v>
      </c>
      <c r="D353">
        <v>27.88</v>
      </c>
      <c r="E353">
        <v>0.890961262553802</v>
      </c>
      <c r="F353">
        <v>0.01932367149758454</v>
      </c>
      <c r="G353">
        <v>0.02335952366902361</v>
      </c>
      <c r="H353">
        <v>0.04</v>
      </c>
      <c r="I353">
        <v>0.07894554529619802</v>
      </c>
      <c r="J353" t="s">
        <v>370</v>
      </c>
      <c r="K353" t="s">
        <v>512</v>
      </c>
      <c r="L353">
        <v>2.15</v>
      </c>
      <c r="M353">
        <v>0.48</v>
      </c>
      <c r="N353">
        <v>0.2232558139534884</v>
      </c>
      <c r="O353">
        <v>0</v>
      </c>
      <c r="P353">
        <v>0</v>
      </c>
      <c r="Q353">
        <v>0.13941018766756</v>
      </c>
      <c r="R353" t="s">
        <v>779</v>
      </c>
      <c r="S353" t="s">
        <v>790</v>
      </c>
      <c r="T353">
        <v>9334.927712999999</v>
      </c>
      <c r="U353" s="2">
        <v>44460</v>
      </c>
      <c r="V353" t="s">
        <v>796</v>
      </c>
    </row>
    <row r="354" spans="1:22">
      <c r="A354" s="1" t="s">
        <v>374</v>
      </c>
      <c r="B354">
        <f>HYPERLINK("https://www.suredividend.com/sure-analysis-ALE/","Allete, Inc.")</f>
        <v>0</v>
      </c>
      <c r="C354">
        <v>64.51000000000001</v>
      </c>
      <c r="D354">
        <v>63</v>
      </c>
      <c r="E354">
        <v>1.023968253968254</v>
      </c>
      <c r="F354">
        <v>0.03906371105254999</v>
      </c>
      <c r="G354">
        <v>-0.004725902445374075</v>
      </c>
      <c r="H354">
        <v>0.05</v>
      </c>
      <c r="I354">
        <v>0.07861966783661467</v>
      </c>
      <c r="J354" t="s">
        <v>370</v>
      </c>
      <c r="K354" t="s">
        <v>776</v>
      </c>
      <c r="L354">
        <v>3.15</v>
      </c>
      <c r="M354">
        <v>2.52</v>
      </c>
      <c r="N354">
        <v>0.8</v>
      </c>
      <c r="O354">
        <v>10</v>
      </c>
      <c r="P354">
        <v>0.02990332946790675</v>
      </c>
      <c r="Q354">
        <v>0.191542117225704</v>
      </c>
      <c r="R354" t="s">
        <v>779</v>
      </c>
      <c r="S354" t="s">
        <v>791</v>
      </c>
      <c r="T354">
        <v>3365.163549</v>
      </c>
      <c r="U354" s="2">
        <v>44513</v>
      </c>
      <c r="V354" t="s">
        <v>801</v>
      </c>
    </row>
    <row r="355" spans="1:22">
      <c r="A355" s="1" t="s">
        <v>375</v>
      </c>
      <c r="B355">
        <f>HYPERLINK("https://www.suredividend.com/sure-analysis-COLD/","Americold Realty Trust")</f>
        <v>0</v>
      </c>
      <c r="C355">
        <v>31.16</v>
      </c>
      <c r="D355">
        <v>30</v>
      </c>
      <c r="E355">
        <v>1.038666666666667</v>
      </c>
      <c r="F355">
        <v>0.0282413350449294</v>
      </c>
      <c r="G355">
        <v>-0.007558854941323356</v>
      </c>
      <c r="H355">
        <v>0.06</v>
      </c>
      <c r="I355">
        <v>0.07716813064974426</v>
      </c>
      <c r="J355" t="s">
        <v>370</v>
      </c>
      <c r="K355" t="s">
        <v>370</v>
      </c>
      <c r="L355">
        <v>1.18</v>
      </c>
      <c r="M355">
        <v>0.88</v>
      </c>
      <c r="N355">
        <v>0.7457627118644068</v>
      </c>
      <c r="O355">
        <v>3</v>
      </c>
      <c r="P355">
        <v>0.04563955259127317</v>
      </c>
      <c r="Q355">
        <v>-0.170971771310615</v>
      </c>
      <c r="R355" t="s">
        <v>781</v>
      </c>
      <c r="S355" t="s">
        <v>793</v>
      </c>
      <c r="T355">
        <v>7949.730057</v>
      </c>
      <c r="U355" s="2">
        <v>44513</v>
      </c>
      <c r="V355" t="s">
        <v>794</v>
      </c>
    </row>
    <row r="356" spans="1:22">
      <c r="A356" s="1" t="s">
        <v>376</v>
      </c>
      <c r="B356">
        <f>HYPERLINK("https://www.suredividend.com/sure-analysis-SVC/","Service Properties Trust")</f>
        <v>0</v>
      </c>
      <c r="C356">
        <v>10.81</v>
      </c>
      <c r="D356">
        <v>14</v>
      </c>
      <c r="E356">
        <v>0.7721428571428571</v>
      </c>
      <c r="F356">
        <v>0.003700277520814061</v>
      </c>
      <c r="G356">
        <v>0.05307782635826142</v>
      </c>
      <c r="H356">
        <v>0.02</v>
      </c>
      <c r="I356">
        <v>0.07690476752858655</v>
      </c>
      <c r="J356" t="s">
        <v>370</v>
      </c>
      <c r="K356" t="s">
        <v>777</v>
      </c>
      <c r="L356">
        <v>0.3</v>
      </c>
      <c r="M356">
        <v>0.04</v>
      </c>
      <c r="N356">
        <v>0.1333333333333333</v>
      </c>
      <c r="O356">
        <v>0</v>
      </c>
      <c r="P356">
        <v>0</v>
      </c>
      <c r="Q356">
        <v>0.047349961028838</v>
      </c>
      <c r="R356" t="s">
        <v>781</v>
      </c>
      <c r="S356" t="s">
        <v>793</v>
      </c>
      <c r="T356">
        <v>1774.74258</v>
      </c>
      <c r="U356" s="2">
        <v>44512</v>
      </c>
      <c r="V356" t="s">
        <v>797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110.85</v>
      </c>
      <c r="D357">
        <v>116</v>
      </c>
      <c r="E357">
        <v>0.955603448275862</v>
      </c>
      <c r="F357">
        <v>0.04149751917004962</v>
      </c>
      <c r="G357">
        <v>0.009123821620970585</v>
      </c>
      <c r="H357">
        <v>0.03</v>
      </c>
      <c r="I357">
        <v>0.07669375988024862</v>
      </c>
      <c r="J357" t="s">
        <v>370</v>
      </c>
      <c r="K357" t="s">
        <v>776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0.593325727570793</v>
      </c>
      <c r="R357" t="s">
        <v>779</v>
      </c>
      <c r="S357" t="s">
        <v>789</v>
      </c>
      <c r="T357">
        <v>41863.5</v>
      </c>
      <c r="U357" s="2">
        <v>44509</v>
      </c>
      <c r="V357" t="s">
        <v>800</v>
      </c>
    </row>
    <row r="358" spans="1:22">
      <c r="A358" s="1" t="s">
        <v>378</v>
      </c>
      <c r="B358">
        <f>HYPERLINK("https://www.suredividend.com/sure-analysis-TM/","Toyota Motor Corporation")</f>
        <v>0</v>
      </c>
      <c r="C358">
        <v>184.39</v>
      </c>
      <c r="D358">
        <v>209</v>
      </c>
      <c r="E358">
        <v>0.8822488038277512</v>
      </c>
      <c r="F358">
        <v>0.02657410922501221</v>
      </c>
      <c r="G358">
        <v>0.02537278017705846</v>
      </c>
      <c r="H358">
        <v>0.03</v>
      </c>
      <c r="I358">
        <v>0.07667809408429282</v>
      </c>
      <c r="J358" t="s">
        <v>370</v>
      </c>
      <c r="K358" t="s">
        <v>370</v>
      </c>
      <c r="L358">
        <v>23.25</v>
      </c>
      <c r="M358">
        <v>4.9</v>
      </c>
      <c r="N358">
        <v>0.210752688172043</v>
      </c>
      <c r="O358">
        <v>2</v>
      </c>
      <c r="P358">
        <v>0</v>
      </c>
      <c r="Q358">
        <v>0.322999966996747</v>
      </c>
      <c r="R358" t="s">
        <v>779</v>
      </c>
      <c r="S358" t="s">
        <v>790</v>
      </c>
      <c r="T358">
        <v>300848.368762</v>
      </c>
      <c r="U358" s="2">
        <v>44434</v>
      </c>
      <c r="V358" t="s">
        <v>797</v>
      </c>
    </row>
    <row r="359" spans="1:22">
      <c r="A359" s="1" t="s">
        <v>379</v>
      </c>
      <c r="B359">
        <f>HYPERLINK("https://www.suredividend.com/sure-analysis-ROST/","Ross Stores, Inc.")</f>
        <v>0</v>
      </c>
      <c r="C359">
        <v>115.45</v>
      </c>
      <c r="D359">
        <v>85</v>
      </c>
      <c r="E359">
        <v>1.358235294117647</v>
      </c>
      <c r="F359">
        <v>0.009874404504114333</v>
      </c>
      <c r="G359">
        <v>-0.05939994957523043</v>
      </c>
      <c r="H359">
        <v>0.13</v>
      </c>
      <c r="I359">
        <v>0.07457173265974615</v>
      </c>
      <c r="J359" t="s">
        <v>370</v>
      </c>
      <c r="K359" t="s">
        <v>777</v>
      </c>
      <c r="L359">
        <v>4.5</v>
      </c>
      <c r="M359">
        <v>1.14</v>
      </c>
      <c r="N359">
        <v>0.2533333333333333</v>
      </c>
      <c r="O359">
        <v>0</v>
      </c>
      <c r="P359">
        <v>0.1486983549970351</v>
      </c>
      <c r="Q359">
        <v>0.075828690814286</v>
      </c>
      <c r="R359" t="s">
        <v>779</v>
      </c>
      <c r="S359" t="s">
        <v>790</v>
      </c>
      <c r="T359">
        <v>41044.768496</v>
      </c>
      <c r="U359" s="2">
        <v>44431</v>
      </c>
      <c r="V359" t="s">
        <v>802</v>
      </c>
    </row>
    <row r="360" spans="1:22">
      <c r="A360" s="1" t="s">
        <v>380</v>
      </c>
      <c r="B360">
        <f>HYPERLINK("https://www.suredividend.com/sure-analysis-CPB/","Campbell Soup Co.")</f>
        <v>0</v>
      </c>
      <c r="C360">
        <v>41.73</v>
      </c>
      <c r="D360">
        <v>46</v>
      </c>
      <c r="E360">
        <v>0.9071739130434782</v>
      </c>
      <c r="F360">
        <v>0.0354660915408579</v>
      </c>
      <c r="G360">
        <v>0.01967527664239133</v>
      </c>
      <c r="H360">
        <v>0.025</v>
      </c>
      <c r="I360">
        <v>0.07450720926970655</v>
      </c>
      <c r="J360" t="s">
        <v>370</v>
      </c>
      <c r="K360" t="s">
        <v>776</v>
      </c>
      <c r="L360">
        <v>2.8</v>
      </c>
      <c r="M360">
        <v>1.48</v>
      </c>
      <c r="N360">
        <v>0.5285714285714286</v>
      </c>
      <c r="O360">
        <v>0</v>
      </c>
      <c r="P360">
        <v>0.01444167341264735</v>
      </c>
      <c r="Q360">
        <v>-0.127800798518835</v>
      </c>
      <c r="R360" t="s">
        <v>779</v>
      </c>
      <c r="S360" t="s">
        <v>788</v>
      </c>
      <c r="T360">
        <v>12552.605931</v>
      </c>
      <c r="U360" s="2">
        <v>44453</v>
      </c>
      <c r="V360" t="s">
        <v>801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48.41</v>
      </c>
      <c r="D361">
        <v>47</v>
      </c>
      <c r="E361">
        <v>1.03</v>
      </c>
      <c r="F361">
        <v>0.0330510225160091</v>
      </c>
      <c r="G361">
        <v>-0.005894320376609308</v>
      </c>
      <c r="H361">
        <v>0.05</v>
      </c>
      <c r="I361">
        <v>0.07258204932359935</v>
      </c>
      <c r="J361" t="s">
        <v>370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0.09481362344119801</v>
      </c>
      <c r="R361" t="s">
        <v>779</v>
      </c>
      <c r="S361" t="s">
        <v>783</v>
      </c>
      <c r="T361">
        <v>19030.996265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HYPERLINK("https://www.suredividend.com/sure-analysis-AEP/","American Electric Power Company Inc.")</f>
        <v>0</v>
      </c>
      <c r="C362">
        <v>82.88</v>
      </c>
      <c r="D362">
        <v>79.59999999999999</v>
      </c>
      <c r="E362">
        <v>1.041206030150754</v>
      </c>
      <c r="F362">
        <v>0.03764478764478765</v>
      </c>
      <c r="G362">
        <v>-0.008043414361392554</v>
      </c>
      <c r="H362">
        <v>0.049</v>
      </c>
      <c r="I362">
        <v>0.0724823326342221</v>
      </c>
      <c r="J362" t="s">
        <v>370</v>
      </c>
      <c r="K362" t="s">
        <v>776</v>
      </c>
      <c r="L362">
        <v>4.68</v>
      </c>
      <c r="M362">
        <v>3.12</v>
      </c>
      <c r="N362">
        <v>0.6666666666666667</v>
      </c>
      <c r="O362">
        <v>16</v>
      </c>
      <c r="P362">
        <v>0.01853111887485781</v>
      </c>
      <c r="Q362">
        <v>-0.054584435568926</v>
      </c>
      <c r="R362" t="s">
        <v>779</v>
      </c>
      <c r="S362" t="s">
        <v>791</v>
      </c>
      <c r="T362">
        <v>41309.510548</v>
      </c>
      <c r="U362" s="2">
        <v>44503</v>
      </c>
      <c r="V362" t="s">
        <v>804</v>
      </c>
    </row>
    <row r="363" spans="1:22">
      <c r="A363" s="1" t="s">
        <v>383</v>
      </c>
      <c r="B363">
        <f>HYPERLINK("https://www.suredividend.com/sure-analysis-IVZ/","Invesco Ltd")</f>
        <v>0</v>
      </c>
      <c r="C363">
        <v>26.11</v>
      </c>
      <c r="D363">
        <v>30</v>
      </c>
      <c r="E363">
        <v>0.8703333333333333</v>
      </c>
      <c r="F363">
        <v>0.02604366143240138</v>
      </c>
      <c r="G363">
        <v>0.02816514373784518</v>
      </c>
      <c r="H363">
        <v>0.02</v>
      </c>
      <c r="I363">
        <v>0.07097601447840751</v>
      </c>
      <c r="J363" t="s">
        <v>370</v>
      </c>
      <c r="K363" t="s">
        <v>512</v>
      </c>
      <c r="L363">
        <v>3</v>
      </c>
      <c r="M363">
        <v>0.68</v>
      </c>
      <c r="N363">
        <v>0.2266666666666667</v>
      </c>
      <c r="O363">
        <v>1</v>
      </c>
      <c r="P363">
        <v>0.02517111829582741</v>
      </c>
      <c r="Q363">
        <v>0.7290152015862521</v>
      </c>
      <c r="R363" t="s">
        <v>779</v>
      </c>
      <c r="S363" t="s">
        <v>789</v>
      </c>
      <c r="T363">
        <v>12065.162485</v>
      </c>
      <c r="U363" s="2">
        <v>44505</v>
      </c>
      <c r="V363" t="s">
        <v>797</v>
      </c>
    </row>
    <row r="364" spans="1:22">
      <c r="A364" s="1" t="s">
        <v>384</v>
      </c>
      <c r="B364">
        <f>HYPERLINK("https://www.suredividend.com/sure-analysis-HUN/","Huntsman Corp")</f>
        <v>0</v>
      </c>
      <c r="C364">
        <v>33.31</v>
      </c>
      <c r="D364">
        <v>33</v>
      </c>
      <c r="E364">
        <v>1.00939393939394</v>
      </c>
      <c r="F364">
        <v>0.0225157610327229</v>
      </c>
      <c r="G364">
        <v>-0.001868270753274559</v>
      </c>
      <c r="H364">
        <v>0.05</v>
      </c>
      <c r="I364">
        <v>0.06940187039688772</v>
      </c>
      <c r="J364" t="s">
        <v>370</v>
      </c>
      <c r="K364" t="s">
        <v>512</v>
      </c>
      <c r="L364">
        <v>3.47</v>
      </c>
      <c r="M364">
        <v>0.75</v>
      </c>
      <c r="N364">
        <v>0.2161383285302594</v>
      </c>
      <c r="O364">
        <v>1</v>
      </c>
      <c r="P364">
        <v>0.05922384104881218</v>
      </c>
      <c r="Q364">
        <v>0.423881942952016</v>
      </c>
      <c r="R364" t="s">
        <v>779</v>
      </c>
      <c r="S364" t="s">
        <v>787</v>
      </c>
      <c r="T364">
        <v>7367.259178</v>
      </c>
      <c r="U364" s="2">
        <v>44503</v>
      </c>
      <c r="V364" t="s">
        <v>794</v>
      </c>
    </row>
    <row r="365" spans="1:22">
      <c r="A365" s="1" t="s">
        <v>385</v>
      </c>
      <c r="B365">
        <f>HYPERLINK("https://www.suredividend.com/sure-analysis-ITUB/","Itau Unibanco Holding S.A.")</f>
        <v>0</v>
      </c>
      <c r="C365">
        <v>4.19</v>
      </c>
      <c r="D365">
        <v>5</v>
      </c>
      <c r="E365">
        <v>0.8380000000000001</v>
      </c>
      <c r="F365">
        <v>0.02147971360381861</v>
      </c>
      <c r="G365">
        <v>0.03597958257097278</v>
      </c>
      <c r="H365">
        <v>0.015</v>
      </c>
      <c r="I365">
        <v>0.06852946657614067</v>
      </c>
      <c r="J365" t="s">
        <v>370</v>
      </c>
      <c r="K365" t="s">
        <v>512</v>
      </c>
      <c r="L365">
        <v>0.5</v>
      </c>
      <c r="M365">
        <v>0.09</v>
      </c>
      <c r="N365">
        <v>0.18</v>
      </c>
      <c r="O365">
        <v>0</v>
      </c>
      <c r="P365">
        <v>0</v>
      </c>
      <c r="Q365">
        <v>-0.009690380524698001</v>
      </c>
      <c r="R365" t="s">
        <v>779</v>
      </c>
      <c r="S365" t="s">
        <v>789</v>
      </c>
      <c r="T365">
        <v>20304.090504</v>
      </c>
      <c r="U365" s="2">
        <v>44425</v>
      </c>
      <c r="V365" t="s">
        <v>796</v>
      </c>
    </row>
    <row r="366" spans="1:22">
      <c r="A366" s="1" t="s">
        <v>386</v>
      </c>
      <c r="B366">
        <f>HYPERLINK("https://www.suredividend.com/sure-analysis-SO/","Southern Company")</f>
        <v>0</v>
      </c>
      <c r="C366">
        <v>62.2</v>
      </c>
      <c r="D366">
        <v>56</v>
      </c>
      <c r="E366">
        <v>1.110714285714286</v>
      </c>
      <c r="F366">
        <v>0.04244372990353698</v>
      </c>
      <c r="G366">
        <v>-0.02078168347939213</v>
      </c>
      <c r="H366">
        <v>0.05</v>
      </c>
      <c r="I366">
        <v>0.06671304802657452</v>
      </c>
      <c r="J366" t="s">
        <v>370</v>
      </c>
      <c r="K366" t="s">
        <v>776</v>
      </c>
      <c r="L366">
        <v>3.38</v>
      </c>
      <c r="M366">
        <v>2.64</v>
      </c>
      <c r="N366">
        <v>0.7810650887573966</v>
      </c>
      <c r="O366">
        <v>20</v>
      </c>
      <c r="P366">
        <v>0.02996744995959233</v>
      </c>
      <c r="Q366">
        <v>0.009287269347118</v>
      </c>
      <c r="R366" t="s">
        <v>779</v>
      </c>
      <c r="S366" t="s">
        <v>791</v>
      </c>
      <c r="T366">
        <v>65591.26529</v>
      </c>
      <c r="U366" s="2">
        <v>44512</v>
      </c>
      <c r="V366" t="s">
        <v>802</v>
      </c>
    </row>
    <row r="367" spans="1:22">
      <c r="A367" s="1" t="s">
        <v>387</v>
      </c>
      <c r="B367">
        <f>HYPERLINK("https://www.suredividend.com/sure-analysis-KSS/","Kohl`s Corp.")</f>
        <v>0</v>
      </c>
      <c r="C367">
        <v>58.36</v>
      </c>
      <c r="D367">
        <v>74</v>
      </c>
      <c r="E367">
        <v>0.7886486486486486</v>
      </c>
      <c r="F367">
        <v>0.01713502398903358</v>
      </c>
      <c r="G367">
        <v>0.04863243658712157</v>
      </c>
      <c r="H367">
        <v>0</v>
      </c>
      <c r="I367">
        <v>0.06600902890302462</v>
      </c>
      <c r="J367" t="s">
        <v>370</v>
      </c>
      <c r="K367" t="s">
        <v>512</v>
      </c>
      <c r="L367">
        <v>6.15</v>
      </c>
      <c r="M367">
        <v>1</v>
      </c>
      <c r="N367">
        <v>0.1626016260162602</v>
      </c>
      <c r="O367">
        <v>0</v>
      </c>
      <c r="P367">
        <v>0.08009875865888949</v>
      </c>
      <c r="Q367">
        <v>1.383951772165056</v>
      </c>
      <c r="R367" t="s">
        <v>779</v>
      </c>
      <c r="S367" t="s">
        <v>790</v>
      </c>
      <c r="T367">
        <v>8631.632232</v>
      </c>
      <c r="U367" s="2">
        <v>44436</v>
      </c>
      <c r="V367" t="s">
        <v>798</v>
      </c>
    </row>
    <row r="368" spans="1:22">
      <c r="A368" s="1" t="s">
        <v>388</v>
      </c>
      <c r="B368">
        <f>HYPERLINK("https://www.suredividend.com/sure-analysis-SAXPY/","Sampo Plc")</f>
        <v>0</v>
      </c>
      <c r="C368">
        <v>25.42</v>
      </c>
      <c r="D368">
        <v>26</v>
      </c>
      <c r="E368">
        <v>0.9776923076923077</v>
      </c>
      <c r="F368">
        <v>0.04051927616050354</v>
      </c>
      <c r="G368">
        <v>0.004522249096887698</v>
      </c>
      <c r="H368">
        <v>0.025</v>
      </c>
      <c r="I368">
        <v>0.06592723094938191</v>
      </c>
      <c r="J368" t="s">
        <v>370</v>
      </c>
      <c r="K368" t="s">
        <v>776</v>
      </c>
      <c r="L368">
        <v>23.99</v>
      </c>
      <c r="M368">
        <v>1.03</v>
      </c>
      <c r="N368">
        <v>0.0429345560650271</v>
      </c>
      <c r="O368">
        <v>0</v>
      </c>
      <c r="P368">
        <v>0.02581661126327583</v>
      </c>
      <c r="Q368">
        <v>0.181245626312106</v>
      </c>
      <c r="R368" t="s">
        <v>779</v>
      </c>
      <c r="S368" t="s">
        <v>789</v>
      </c>
      <c r="T368">
        <v>28062.249684</v>
      </c>
      <c r="U368" s="2">
        <v>44507</v>
      </c>
      <c r="V368" t="s">
        <v>795</v>
      </c>
    </row>
    <row r="369" spans="1:22">
      <c r="A369" s="1" t="s">
        <v>389</v>
      </c>
      <c r="B369">
        <f>HYPERLINK("https://www.suredividend.com/sure-analysis-APLE/","Apple Hospitality REIT Inc")</f>
        <v>0</v>
      </c>
      <c r="C369">
        <v>16</v>
      </c>
      <c r="D369">
        <v>18.3</v>
      </c>
      <c r="E369">
        <v>0.8743169398907104</v>
      </c>
      <c r="F369">
        <v>0.0025</v>
      </c>
      <c r="G369">
        <v>0.02722651603924287</v>
      </c>
      <c r="H369">
        <v>0.018</v>
      </c>
      <c r="I369">
        <v>0.06540597923823888</v>
      </c>
      <c r="J369" t="s">
        <v>370</v>
      </c>
      <c r="K369" t="s">
        <v>777</v>
      </c>
      <c r="L369">
        <v>0.87</v>
      </c>
      <c r="M369">
        <v>0.04</v>
      </c>
      <c r="N369">
        <v>0.04597701149425287</v>
      </c>
      <c r="O369">
        <v>0</v>
      </c>
      <c r="P369">
        <v>0.888175022589804</v>
      </c>
      <c r="Q369">
        <v>0.291947803688733</v>
      </c>
      <c r="R369" t="s">
        <v>781</v>
      </c>
      <c r="S369" t="s">
        <v>793</v>
      </c>
      <c r="T369">
        <v>3642.249713</v>
      </c>
      <c r="U369" s="2">
        <v>44509</v>
      </c>
      <c r="V369" t="s">
        <v>804</v>
      </c>
    </row>
    <row r="370" spans="1:22">
      <c r="A370" s="1" t="s">
        <v>390</v>
      </c>
      <c r="B370">
        <f>HYPERLINK("https://www.suredividend.com/sure-analysis-UHT/","Universal Health Realty Income Trust")</f>
        <v>0</v>
      </c>
      <c r="C370">
        <v>59.54</v>
      </c>
      <c r="D370">
        <v>58</v>
      </c>
      <c r="E370">
        <v>1.026551724137931</v>
      </c>
      <c r="F370">
        <v>0.047027208599261</v>
      </c>
      <c r="G370">
        <v>-0.005227358568978158</v>
      </c>
      <c r="H370">
        <v>0.03</v>
      </c>
      <c r="I370">
        <v>0.06505462412413032</v>
      </c>
      <c r="J370" t="s">
        <v>370</v>
      </c>
      <c r="K370" t="s">
        <v>775</v>
      </c>
      <c r="L370">
        <v>3.35</v>
      </c>
      <c r="M370">
        <v>2.8</v>
      </c>
      <c r="N370">
        <v>0.835820895522388</v>
      </c>
      <c r="O370">
        <v>36</v>
      </c>
      <c r="P370">
        <v>0.008428158438618549</v>
      </c>
      <c r="Q370">
        <v>0.014489500249521</v>
      </c>
      <c r="R370" t="s">
        <v>781</v>
      </c>
      <c r="S370" t="s">
        <v>793</v>
      </c>
      <c r="T370">
        <v>809.834205</v>
      </c>
      <c r="U370" s="2">
        <v>44411</v>
      </c>
      <c r="V370" t="s">
        <v>804</v>
      </c>
    </row>
    <row r="371" spans="1:22">
      <c r="A371" s="1" t="s">
        <v>391</v>
      </c>
      <c r="B371">
        <f>HYPERLINK("https://www.suredividend.com/sure-analysis-FLO/","Flowers Foods, Inc.")</f>
        <v>0</v>
      </c>
      <c r="C371">
        <v>27.04</v>
      </c>
      <c r="D371">
        <v>25</v>
      </c>
      <c r="E371">
        <v>1.0816</v>
      </c>
      <c r="F371">
        <v>0.03106508875739645</v>
      </c>
      <c r="G371">
        <v>-0.01556586513744429</v>
      </c>
      <c r="H371">
        <v>0.05</v>
      </c>
      <c r="I371">
        <v>0.06359224846868572</v>
      </c>
      <c r="J371" t="s">
        <v>370</v>
      </c>
      <c r="K371" t="s">
        <v>776</v>
      </c>
      <c r="L371">
        <v>1.24</v>
      </c>
      <c r="M371">
        <v>0.84</v>
      </c>
      <c r="N371">
        <v>0.6774193548387096</v>
      </c>
      <c r="O371">
        <v>19</v>
      </c>
      <c r="P371">
        <v>0.05154749679728043</v>
      </c>
      <c r="Q371">
        <v>0.211777661101844</v>
      </c>
      <c r="R371" t="s">
        <v>779</v>
      </c>
      <c r="S371" t="s">
        <v>788</v>
      </c>
      <c r="T371">
        <v>5522.548284</v>
      </c>
      <c r="U371" s="2">
        <v>44513</v>
      </c>
      <c r="V371" t="s">
        <v>800</v>
      </c>
    </row>
    <row r="372" spans="1:22">
      <c r="A372" s="1" t="s">
        <v>392</v>
      </c>
      <c r="B372">
        <f>HYPERLINK("https://www.suredividend.com/sure-analysis-GIS/","General Mills, Inc.")</f>
        <v>0</v>
      </c>
      <c r="C372">
        <v>63.7</v>
      </c>
      <c r="D372">
        <v>65</v>
      </c>
      <c r="E372">
        <v>0.9800000000000001</v>
      </c>
      <c r="F372">
        <v>0.03296703296703297</v>
      </c>
      <c r="G372">
        <v>0.004048715456574481</v>
      </c>
      <c r="H372">
        <v>0.03</v>
      </c>
      <c r="I372">
        <v>0.06296907550207731</v>
      </c>
      <c r="J372" t="s">
        <v>370</v>
      </c>
      <c r="K372" t="s">
        <v>776</v>
      </c>
      <c r="L372">
        <v>3.8</v>
      </c>
      <c r="M372">
        <v>2.1</v>
      </c>
      <c r="N372">
        <v>0.5526315789473685</v>
      </c>
      <c r="O372">
        <v>1</v>
      </c>
      <c r="P372">
        <v>0.0183608813392091</v>
      </c>
      <c r="Q372">
        <v>0.06378147062237201</v>
      </c>
      <c r="R372" t="s">
        <v>779</v>
      </c>
      <c r="S372" t="s">
        <v>788</v>
      </c>
      <c r="T372">
        <v>38303.990664</v>
      </c>
      <c r="U372" s="2">
        <v>44461</v>
      </c>
      <c r="V372" t="s">
        <v>802</v>
      </c>
    </row>
    <row r="373" spans="1:22">
      <c r="A373" s="1" t="s">
        <v>393</v>
      </c>
      <c r="B373">
        <f>HYPERLINK("https://www.suredividend.com/sure-analysis-OKE/","Oneok Inc.")</f>
        <v>0</v>
      </c>
      <c r="C373">
        <v>63.36</v>
      </c>
      <c r="D373">
        <v>57</v>
      </c>
      <c r="E373">
        <v>1.111578947368421</v>
      </c>
      <c r="F373">
        <v>0.05902777777777778</v>
      </c>
      <c r="G373">
        <v>-0.02093407141375314</v>
      </c>
      <c r="H373">
        <v>0.03</v>
      </c>
      <c r="I373">
        <v>0.0628429927169849</v>
      </c>
      <c r="J373" t="s">
        <v>370</v>
      </c>
      <c r="K373" t="s">
        <v>775</v>
      </c>
      <c r="L373">
        <v>5.15</v>
      </c>
      <c r="M373">
        <v>3.74</v>
      </c>
      <c r="N373">
        <v>0.7262135922330097</v>
      </c>
      <c r="O373">
        <v>18</v>
      </c>
      <c r="P373">
        <v>0.02003644710053942</v>
      </c>
      <c r="Q373">
        <v>1.143330332421735</v>
      </c>
      <c r="R373" t="s">
        <v>779</v>
      </c>
      <c r="S373" t="s">
        <v>792</v>
      </c>
      <c r="T373">
        <v>28134.146592</v>
      </c>
      <c r="U373" s="2">
        <v>44506</v>
      </c>
      <c r="V373" t="s">
        <v>797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21.65</v>
      </c>
      <c r="D374">
        <v>24</v>
      </c>
      <c r="E374">
        <v>0.9020833333333332</v>
      </c>
      <c r="F374">
        <v>0.01108545034642032</v>
      </c>
      <c r="G374">
        <v>0.02082352110716879</v>
      </c>
      <c r="H374">
        <v>0.03</v>
      </c>
      <c r="I374">
        <v>0.06163869874953321</v>
      </c>
      <c r="J374" t="s">
        <v>370</v>
      </c>
      <c r="K374" t="s">
        <v>777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0.3536411599337621</v>
      </c>
      <c r="R374" t="s">
        <v>779</v>
      </c>
      <c r="S374" t="s">
        <v>786</v>
      </c>
      <c r="T374">
        <v>7569.779752</v>
      </c>
      <c r="U374" s="2">
        <v>44504</v>
      </c>
      <c r="V374" t="s">
        <v>797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413.06</v>
      </c>
      <c r="D375">
        <v>357</v>
      </c>
      <c r="E375">
        <v>1.15703081232493</v>
      </c>
      <c r="F375">
        <v>0.0101680143320583</v>
      </c>
      <c r="G375">
        <v>-0.02875003740836624</v>
      </c>
      <c r="H375">
        <v>0.08</v>
      </c>
      <c r="I375">
        <v>0.05999125882669887</v>
      </c>
      <c r="J375" t="s">
        <v>370</v>
      </c>
      <c r="K375" t="s">
        <v>512</v>
      </c>
      <c r="L375">
        <v>21</v>
      </c>
      <c r="M375">
        <v>4.2</v>
      </c>
      <c r="N375">
        <v>0.2</v>
      </c>
      <c r="O375">
        <v>12</v>
      </c>
      <c r="P375">
        <v>0.09986525071768737</v>
      </c>
      <c r="Q375">
        <v>0.770716088588932</v>
      </c>
      <c r="R375" t="s">
        <v>779</v>
      </c>
      <c r="S375" t="s">
        <v>785</v>
      </c>
      <c r="T375">
        <v>62662.408351</v>
      </c>
      <c r="U375" s="2">
        <v>44508</v>
      </c>
      <c r="V375" t="s">
        <v>797</v>
      </c>
    </row>
    <row r="376" spans="1:22">
      <c r="A376" s="1" t="s">
        <v>396</v>
      </c>
      <c r="B376">
        <f>HYPERLINK("https://www.suredividend.com/sure-analysis-GLOP/","Gaslog Partners LP")</f>
        <v>0</v>
      </c>
      <c r="C376">
        <v>5.22</v>
      </c>
      <c r="D376">
        <v>5.25</v>
      </c>
      <c r="E376">
        <v>0.9942857142857142</v>
      </c>
      <c r="F376">
        <v>0.007662835249042146</v>
      </c>
      <c r="G376">
        <v>0.001146792005453312</v>
      </c>
      <c r="H376">
        <v>0.05</v>
      </c>
      <c r="I376">
        <v>0.05913993264956718</v>
      </c>
      <c r="J376" t="s">
        <v>370</v>
      </c>
      <c r="K376" t="s">
        <v>512</v>
      </c>
      <c r="L376">
        <v>1.25</v>
      </c>
      <c r="M376">
        <v>0.04</v>
      </c>
      <c r="N376">
        <v>0.032</v>
      </c>
      <c r="O376">
        <v>0</v>
      </c>
      <c r="P376">
        <v>0.08447177119769855</v>
      </c>
      <c r="Q376">
        <v>1.555107845461009</v>
      </c>
      <c r="R376" t="s">
        <v>779</v>
      </c>
      <c r="S376" t="s">
        <v>792</v>
      </c>
      <c r="T376">
        <v>256.121071</v>
      </c>
      <c r="U376" s="2">
        <v>44498</v>
      </c>
      <c r="V376" t="s">
        <v>794</v>
      </c>
    </row>
    <row r="377" spans="1:22">
      <c r="A377" s="1" t="s">
        <v>397</v>
      </c>
      <c r="B377">
        <f>HYPERLINK("https://www.suredividend.com/sure-analysis-DDAIF/","Daimler AG")</f>
        <v>0</v>
      </c>
      <c r="C377">
        <v>100.78</v>
      </c>
      <c r="D377">
        <v>113</v>
      </c>
      <c r="E377">
        <v>0.891858407079646</v>
      </c>
      <c r="F377">
        <v>0.01577693986902163</v>
      </c>
      <c r="G377">
        <v>0.02315355576477263</v>
      </c>
      <c r="H377">
        <v>0.02</v>
      </c>
      <c r="I377">
        <v>0.05757498441780617</v>
      </c>
      <c r="J377" t="s">
        <v>370</v>
      </c>
      <c r="K377" t="s">
        <v>512</v>
      </c>
      <c r="L377">
        <v>14.1</v>
      </c>
      <c r="M377">
        <v>1.59</v>
      </c>
      <c r="N377">
        <v>0.1127659574468085</v>
      </c>
      <c r="O377">
        <v>1</v>
      </c>
      <c r="P377">
        <v>0.02512087219852699</v>
      </c>
      <c r="Q377">
        <v>0.616744335529487</v>
      </c>
      <c r="R377" t="s">
        <v>779</v>
      </c>
      <c r="S377" t="s">
        <v>790</v>
      </c>
      <c r="T377">
        <v>107636.345543</v>
      </c>
      <c r="U377" s="2">
        <v>44498</v>
      </c>
      <c r="V377" t="s">
        <v>797</v>
      </c>
    </row>
    <row r="378" spans="1:22">
      <c r="A378" s="1" t="s">
        <v>398</v>
      </c>
      <c r="B378">
        <f>HYPERLINK("https://www.suredividend.com/sure-analysis-PKX/","Posco")</f>
        <v>0</v>
      </c>
      <c r="C378">
        <v>59.57</v>
      </c>
      <c r="D378">
        <v>90</v>
      </c>
      <c r="E378">
        <v>0.6618888888888889</v>
      </c>
      <c r="F378">
        <v>0.02937720329024677</v>
      </c>
      <c r="G378">
        <v>0.08603290002798047</v>
      </c>
      <c r="H378">
        <v>-0.05</v>
      </c>
      <c r="I378">
        <v>0.05644508748962695</v>
      </c>
      <c r="J378" t="s">
        <v>370</v>
      </c>
      <c r="K378" t="s">
        <v>370</v>
      </c>
      <c r="L378">
        <v>9</v>
      </c>
      <c r="M378">
        <v>1.75</v>
      </c>
      <c r="N378">
        <v>0.1944444444444444</v>
      </c>
      <c r="O378">
        <v>0</v>
      </c>
      <c r="P378">
        <v>0</v>
      </c>
      <c r="Q378">
        <v>0.175126425990118</v>
      </c>
      <c r="R378" t="s">
        <v>779</v>
      </c>
      <c r="S378" t="s">
        <v>787</v>
      </c>
      <c r="T378">
        <v>21127.113857</v>
      </c>
      <c r="U378" s="2">
        <v>44509</v>
      </c>
      <c r="V378" t="s">
        <v>794</v>
      </c>
    </row>
    <row r="379" spans="1:22">
      <c r="A379" s="1" t="s">
        <v>399</v>
      </c>
      <c r="B379">
        <f>HYPERLINK("https://www.suredividend.com/sure-analysis-O/","Realty Income Corp.")</f>
        <v>0</v>
      </c>
      <c r="C379">
        <v>71.14</v>
      </c>
      <c r="D379">
        <v>64</v>
      </c>
      <c r="E379">
        <v>1.1115625</v>
      </c>
      <c r="F379">
        <v>0.03978071408490301</v>
      </c>
      <c r="G379">
        <v>-0.02093117405751299</v>
      </c>
      <c r="H379">
        <v>0.04</v>
      </c>
      <c r="I379">
        <v>0.0563406861148763</v>
      </c>
      <c r="J379" t="s">
        <v>370</v>
      </c>
      <c r="K379" t="s">
        <v>776</v>
      </c>
      <c r="L379">
        <v>3.58</v>
      </c>
      <c r="M379">
        <v>2.83</v>
      </c>
      <c r="N379">
        <v>0.7905027932960894</v>
      </c>
      <c r="O379">
        <v>26</v>
      </c>
      <c r="P379">
        <v>0.03492902808124509</v>
      </c>
      <c r="Q379">
        <v>0.204161093379596</v>
      </c>
      <c r="R379" t="s">
        <v>781</v>
      </c>
      <c r="S379" t="s">
        <v>793</v>
      </c>
      <c r="T379">
        <v>29402.445182</v>
      </c>
      <c r="U379" s="2">
        <v>44507</v>
      </c>
      <c r="V379" t="s">
        <v>797</v>
      </c>
    </row>
    <row r="380" spans="1:22">
      <c r="A380" s="1" t="s">
        <v>400</v>
      </c>
      <c r="B380">
        <f>HYPERLINK("https://www.suredividend.com/sure-analysis-WFC/","Wells Fargo &amp; Co.")</f>
        <v>0</v>
      </c>
      <c r="C380">
        <v>51.08</v>
      </c>
      <c r="D380">
        <v>50</v>
      </c>
      <c r="E380">
        <v>1.0216</v>
      </c>
      <c r="F380">
        <v>0.01566170712607674</v>
      </c>
      <c r="G380">
        <v>-0.00426488458564156</v>
      </c>
      <c r="H380">
        <v>0.04</v>
      </c>
      <c r="I380">
        <v>0.05587853657670228</v>
      </c>
      <c r="J380" t="s">
        <v>370</v>
      </c>
      <c r="K380" t="s">
        <v>512</v>
      </c>
      <c r="L380">
        <v>4.35</v>
      </c>
      <c r="M380">
        <v>0.8</v>
      </c>
      <c r="N380">
        <v>0.1839080459770115</v>
      </c>
      <c r="O380">
        <v>0</v>
      </c>
      <c r="P380">
        <v>0.1501306516611158</v>
      </c>
      <c r="Q380">
        <v>1.146009500387426</v>
      </c>
      <c r="R380" t="s">
        <v>779</v>
      </c>
      <c r="S380" t="s">
        <v>789</v>
      </c>
      <c r="T380">
        <v>209262.679742</v>
      </c>
      <c r="U380" s="2">
        <v>44485</v>
      </c>
      <c r="V380" t="s">
        <v>798</v>
      </c>
    </row>
    <row r="381" spans="1:22">
      <c r="A381" s="1" t="s">
        <v>401</v>
      </c>
      <c r="B381">
        <f>HYPERLINK("https://www.suredividend.com/sure-analysis-GEO/","Geo Group, Inc.")</f>
        <v>0</v>
      </c>
      <c r="C381">
        <v>9.609999999999999</v>
      </c>
      <c r="D381">
        <v>11.61</v>
      </c>
      <c r="E381">
        <v>0.8277347114556417</v>
      </c>
      <c r="F381">
        <v>0.02601456815816858</v>
      </c>
      <c r="G381">
        <v>0.03853650413619247</v>
      </c>
      <c r="H381">
        <v>-0.05</v>
      </c>
      <c r="I381">
        <v>0.05454296813921289</v>
      </c>
      <c r="J381" t="s">
        <v>370</v>
      </c>
      <c r="K381" t="s">
        <v>370</v>
      </c>
      <c r="L381">
        <v>2.58</v>
      </c>
      <c r="M381">
        <v>0.25</v>
      </c>
      <c r="N381">
        <v>0.09689922480620154</v>
      </c>
      <c r="O381">
        <v>0</v>
      </c>
      <c r="P381">
        <v>0.3707841442227291</v>
      </c>
      <c r="Q381">
        <v>0.099950525237881</v>
      </c>
      <c r="R381" t="s">
        <v>781</v>
      </c>
      <c r="S381" t="s">
        <v>793</v>
      </c>
      <c r="T381">
        <v>1171.433845</v>
      </c>
      <c r="U381" s="2">
        <v>44508</v>
      </c>
      <c r="V381" t="s">
        <v>794</v>
      </c>
    </row>
    <row r="382" spans="1:22">
      <c r="A382" s="1" t="s">
        <v>402</v>
      </c>
      <c r="B382">
        <f>HYPERLINK("https://www.suredividend.com/sure-analysis-BK/","Bank Of New York Mellon Corp")</f>
        <v>0</v>
      </c>
      <c r="C382">
        <v>59.91</v>
      </c>
      <c r="D382">
        <v>52</v>
      </c>
      <c r="E382">
        <v>1.152115384615385</v>
      </c>
      <c r="F382">
        <v>0.02270071774328159</v>
      </c>
      <c r="G382">
        <v>-0.02792269277558967</v>
      </c>
      <c r="H382">
        <v>0.06</v>
      </c>
      <c r="I382">
        <v>0.05341673206653086</v>
      </c>
      <c r="J382" t="s">
        <v>370</v>
      </c>
      <c r="K382" t="s">
        <v>512</v>
      </c>
      <c r="L382">
        <v>4.15</v>
      </c>
      <c r="M382">
        <v>1.36</v>
      </c>
      <c r="N382">
        <v>0.327710843373494</v>
      </c>
      <c r="O382">
        <v>11</v>
      </c>
      <c r="P382">
        <v>0.06000153927394081</v>
      </c>
      <c r="Q382">
        <v>0.594014486216868</v>
      </c>
      <c r="R382" t="s">
        <v>779</v>
      </c>
      <c r="S382" t="s">
        <v>789</v>
      </c>
      <c r="T382">
        <v>49615.329465</v>
      </c>
      <c r="U382" s="2">
        <v>44491</v>
      </c>
      <c r="V382" t="s">
        <v>798</v>
      </c>
    </row>
    <row r="383" spans="1:22">
      <c r="A383" s="1" t="s">
        <v>403</v>
      </c>
      <c r="B383">
        <f>HYPERLINK("https://www.suredividend.com/sure-analysis-AON/","Aon plc.")</f>
        <v>0</v>
      </c>
      <c r="C383">
        <v>300.44</v>
      </c>
      <c r="D383">
        <v>233</v>
      </c>
      <c r="E383">
        <v>1.289442060085837</v>
      </c>
      <c r="F383">
        <v>0.006790041272799894</v>
      </c>
      <c r="G383">
        <v>-0.04957110006035448</v>
      </c>
      <c r="H383">
        <v>0.1</v>
      </c>
      <c r="I383">
        <v>0.05321777297334207</v>
      </c>
      <c r="J383" t="s">
        <v>370</v>
      </c>
      <c r="K383" t="s">
        <v>777</v>
      </c>
      <c r="L383">
        <v>11.65</v>
      </c>
      <c r="M383">
        <v>2.04</v>
      </c>
      <c r="N383">
        <v>0.1751072961373391</v>
      </c>
      <c r="O383">
        <v>10</v>
      </c>
      <c r="P383">
        <v>0.1101602038533911</v>
      </c>
      <c r="Q383">
        <v>0.480720412830806</v>
      </c>
      <c r="R383" t="s">
        <v>779</v>
      </c>
      <c r="S383" t="s">
        <v>789</v>
      </c>
      <c r="T383">
        <v>66174.63481800001</v>
      </c>
      <c r="U383" s="2">
        <v>44421</v>
      </c>
      <c r="V383" t="s">
        <v>798</v>
      </c>
    </row>
    <row r="384" spans="1:22">
      <c r="A384" s="1" t="s">
        <v>404</v>
      </c>
      <c r="B384">
        <f>HYPERLINK("https://www.suredividend.com/sure-analysis-CUBE/","CubeSmart")</f>
        <v>0</v>
      </c>
      <c r="C384">
        <v>55.04</v>
      </c>
      <c r="D384">
        <v>42</v>
      </c>
      <c r="E384">
        <v>1.31047619047619</v>
      </c>
      <c r="F384">
        <v>0.03125</v>
      </c>
      <c r="G384">
        <v>-0.05264189933142938</v>
      </c>
      <c r="H384">
        <v>0.075</v>
      </c>
      <c r="I384">
        <v>0.05284009564248904</v>
      </c>
      <c r="J384" t="s">
        <v>370</v>
      </c>
      <c r="K384" t="s">
        <v>370</v>
      </c>
      <c r="L384">
        <v>2.1</v>
      </c>
      <c r="M384">
        <v>1.72</v>
      </c>
      <c r="N384">
        <v>0.819047619047619</v>
      </c>
      <c r="O384">
        <v>12</v>
      </c>
      <c r="P384">
        <v>0.08023542380212056</v>
      </c>
      <c r="Q384">
        <v>0.660013438204023</v>
      </c>
      <c r="R384" t="s">
        <v>781</v>
      </c>
      <c r="S384" t="s">
        <v>793</v>
      </c>
      <c r="T384">
        <v>11099.400476</v>
      </c>
      <c r="U384" s="2">
        <v>44507</v>
      </c>
      <c r="V384" t="s">
        <v>794</v>
      </c>
    </row>
    <row r="385" spans="1:22">
      <c r="A385" s="1" t="s">
        <v>405</v>
      </c>
      <c r="B385">
        <f>HYPERLINK("https://www.suredividend.com/sure-analysis-R/","Ryder System, Inc.")</f>
        <v>0</v>
      </c>
      <c r="C385">
        <v>87.33</v>
      </c>
      <c r="D385">
        <v>101</v>
      </c>
      <c r="E385">
        <v>0.8646534653465346</v>
      </c>
      <c r="F385">
        <v>0.02656589946181152</v>
      </c>
      <c r="G385">
        <v>0.02951240204674144</v>
      </c>
      <c r="H385">
        <v>0</v>
      </c>
      <c r="I385">
        <v>0.05281092613059757</v>
      </c>
      <c r="J385" t="s">
        <v>370</v>
      </c>
      <c r="K385" t="s">
        <v>370</v>
      </c>
      <c r="L385">
        <v>8.449999999999999</v>
      </c>
      <c r="M385">
        <v>2.32</v>
      </c>
      <c r="N385">
        <v>0.2745562130177515</v>
      </c>
      <c r="O385">
        <v>17</v>
      </c>
      <c r="P385">
        <v>0.01013720758985226</v>
      </c>
      <c r="Q385">
        <v>0.6295481522220181</v>
      </c>
      <c r="R385" t="s">
        <v>779</v>
      </c>
      <c r="S385" t="s">
        <v>786</v>
      </c>
      <c r="T385">
        <v>4725.007144</v>
      </c>
      <c r="U385" s="2">
        <v>44497</v>
      </c>
      <c r="V385" t="s">
        <v>800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35.4</v>
      </c>
      <c r="D386">
        <v>35</v>
      </c>
      <c r="E386">
        <v>1.011428571428571</v>
      </c>
      <c r="F386">
        <v>0.02175141242937853</v>
      </c>
      <c r="G386">
        <v>-0.00227017098535065</v>
      </c>
      <c r="H386">
        <v>0.03</v>
      </c>
      <c r="I386">
        <v>0.05261309450955842</v>
      </c>
      <c r="J386" t="s">
        <v>370</v>
      </c>
      <c r="K386" t="s">
        <v>512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0.27275170189896</v>
      </c>
      <c r="R386" t="s">
        <v>779</v>
      </c>
      <c r="S386" t="s">
        <v>790</v>
      </c>
      <c r="T386">
        <v>64153.12305</v>
      </c>
      <c r="U386" s="2">
        <v>44439</v>
      </c>
      <c r="V386" t="s">
        <v>802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49.95</v>
      </c>
      <c r="D387">
        <v>59</v>
      </c>
      <c r="E387">
        <v>0.8466101694915255</v>
      </c>
      <c r="F387">
        <v>0.03123123123123123</v>
      </c>
      <c r="G387">
        <v>0.03386373985192326</v>
      </c>
      <c r="H387">
        <v>-0.02</v>
      </c>
      <c r="I387">
        <v>0.05016808021270625</v>
      </c>
      <c r="J387" t="s">
        <v>370</v>
      </c>
      <c r="K387" t="s">
        <v>370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0.6121235874322291</v>
      </c>
      <c r="R387" t="s">
        <v>779</v>
      </c>
      <c r="S387" t="s">
        <v>789</v>
      </c>
      <c r="T387">
        <v>21037.211071</v>
      </c>
      <c r="U387" s="2">
        <v>44492</v>
      </c>
      <c r="V387" t="s">
        <v>798</v>
      </c>
    </row>
    <row r="388" spans="1:22">
      <c r="A388" s="1" t="s">
        <v>408</v>
      </c>
      <c r="B388">
        <f>HYPERLINK("https://www.suredividend.com/sure-analysis-WY/","Weyerhaeuser Co.")</f>
        <v>0</v>
      </c>
      <c r="C388">
        <v>37.41</v>
      </c>
      <c r="D388">
        <v>55.8</v>
      </c>
      <c r="E388">
        <v>0.6704301075268817</v>
      </c>
      <c r="F388">
        <v>0.0181769580326116</v>
      </c>
      <c r="G388">
        <v>0.08325149766734508</v>
      </c>
      <c r="H388">
        <v>-0.053</v>
      </c>
      <c r="I388">
        <v>0.05003012568339416</v>
      </c>
      <c r="J388" t="s">
        <v>370</v>
      </c>
      <c r="K388" t="s">
        <v>512</v>
      </c>
      <c r="L388">
        <v>3.28</v>
      </c>
      <c r="M388">
        <v>0.68</v>
      </c>
      <c r="N388">
        <v>0.2073170731707317</v>
      </c>
      <c r="O388">
        <v>0</v>
      </c>
      <c r="P388">
        <v>0.1486983549970351</v>
      </c>
      <c r="Q388">
        <v>0.311509176657764</v>
      </c>
      <c r="R388" t="s">
        <v>781</v>
      </c>
      <c r="S388" t="s">
        <v>793</v>
      </c>
      <c r="T388">
        <v>27662.23185</v>
      </c>
      <c r="U388" s="2">
        <v>44506</v>
      </c>
      <c r="V388" t="s">
        <v>804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166.56</v>
      </c>
      <c r="D389">
        <v>188</v>
      </c>
      <c r="E389">
        <v>0.8859574468085106</v>
      </c>
      <c r="F389">
        <v>0.02401536983669549</v>
      </c>
      <c r="G389">
        <v>0.02451289125789335</v>
      </c>
      <c r="H389">
        <v>0</v>
      </c>
      <c r="I389">
        <v>0.04976225186651617</v>
      </c>
      <c r="J389" t="s">
        <v>370</v>
      </c>
      <c r="K389" t="s">
        <v>512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0.4993880598892571</v>
      </c>
      <c r="R389" t="s">
        <v>779</v>
      </c>
      <c r="S389" t="s">
        <v>789</v>
      </c>
      <c r="T389">
        <v>493115.694938</v>
      </c>
      <c r="U389" s="2">
        <v>44485</v>
      </c>
      <c r="V389" t="s">
        <v>798</v>
      </c>
    </row>
    <row r="390" spans="1:22">
      <c r="A390" s="1" t="s">
        <v>410</v>
      </c>
      <c r="B390">
        <f>HYPERLINK("https://www.suredividend.com/sure-analysis-MA/","Mastercard Incorporated")</f>
        <v>0</v>
      </c>
      <c r="C390">
        <v>361.36</v>
      </c>
      <c r="D390">
        <v>222</v>
      </c>
      <c r="E390">
        <v>1.627747747747748</v>
      </c>
      <c r="F390">
        <v>0.004870489262785034</v>
      </c>
      <c r="G390">
        <v>-0.09284274252499447</v>
      </c>
      <c r="H390">
        <v>0.15</v>
      </c>
      <c r="I390">
        <v>0.04953094784740575</v>
      </c>
      <c r="J390" t="s">
        <v>370</v>
      </c>
      <c r="K390" t="s">
        <v>777</v>
      </c>
      <c r="L390">
        <v>8.24</v>
      </c>
      <c r="M390">
        <v>1.76</v>
      </c>
      <c r="N390">
        <v>0.2135922330097087</v>
      </c>
      <c r="O390">
        <v>10</v>
      </c>
      <c r="P390">
        <v>0.1500007374307972</v>
      </c>
      <c r="Q390">
        <v>0.08901654166694101</v>
      </c>
      <c r="R390" t="s">
        <v>779</v>
      </c>
      <c r="S390" t="s">
        <v>789</v>
      </c>
      <c r="T390">
        <v>354306.758214</v>
      </c>
      <c r="U390" s="2">
        <v>44499</v>
      </c>
      <c r="V390" t="s">
        <v>795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90.55</v>
      </c>
      <c r="D391">
        <v>77</v>
      </c>
      <c r="E391">
        <v>1.175974025974026</v>
      </c>
      <c r="F391">
        <v>0.02992821645499724</v>
      </c>
      <c r="G391">
        <v>-0.03189947842537066</v>
      </c>
      <c r="H391">
        <v>0.052</v>
      </c>
      <c r="I391">
        <v>0.0490115573222405</v>
      </c>
      <c r="J391" t="s">
        <v>370</v>
      </c>
      <c r="K391" t="s">
        <v>776</v>
      </c>
      <c r="L391">
        <v>4.06</v>
      </c>
      <c r="M391">
        <v>2.71</v>
      </c>
      <c r="N391">
        <v>0.6674876847290641</v>
      </c>
      <c r="O391">
        <v>18</v>
      </c>
      <c r="P391">
        <v>0.05189218178383381</v>
      </c>
      <c r="Q391">
        <v>-0.104900606146181</v>
      </c>
      <c r="R391" t="s">
        <v>779</v>
      </c>
      <c r="S391" t="s">
        <v>791</v>
      </c>
      <c r="T391">
        <v>27994.814626</v>
      </c>
      <c r="U391" s="2">
        <v>44502</v>
      </c>
      <c r="V391" t="s">
        <v>795</v>
      </c>
    </row>
    <row r="392" spans="1:22">
      <c r="A392" s="1" t="s">
        <v>412</v>
      </c>
      <c r="B392">
        <f>HYPERLINK("https://www.suredividend.com/sure-analysis-HAL/","Halliburton Co.")</f>
        <v>0</v>
      </c>
      <c r="C392">
        <v>23.4</v>
      </c>
      <c r="D392">
        <v>14</v>
      </c>
      <c r="E392">
        <v>1.671428571428571</v>
      </c>
      <c r="F392">
        <v>0.007692307692307693</v>
      </c>
      <c r="G392">
        <v>-0.09763459763370408</v>
      </c>
      <c r="H392">
        <v>0.149</v>
      </c>
      <c r="I392">
        <v>0.04847849745682131</v>
      </c>
      <c r="J392" t="s">
        <v>370</v>
      </c>
      <c r="K392" t="s">
        <v>777</v>
      </c>
      <c r="L392">
        <v>1.1</v>
      </c>
      <c r="M392">
        <v>0.18</v>
      </c>
      <c r="N392">
        <v>0.1636363636363636</v>
      </c>
      <c r="O392">
        <v>0</v>
      </c>
      <c r="P392">
        <v>0.2011244339814313</v>
      </c>
      <c r="Q392">
        <v>0.656068856490426</v>
      </c>
      <c r="R392" t="s">
        <v>779</v>
      </c>
      <c r="S392" t="s">
        <v>792</v>
      </c>
      <c r="T392">
        <v>20989.069962</v>
      </c>
      <c r="U392" s="2">
        <v>44491</v>
      </c>
      <c r="V392" t="s">
        <v>802</v>
      </c>
    </row>
    <row r="393" spans="1:22">
      <c r="A393" s="1" t="s">
        <v>413</v>
      </c>
      <c r="B393">
        <f>HYPERLINK("https://www.suredividend.com/sure-analysis-VIAC/","ViacomCBS Inc")</f>
        <v>0</v>
      </c>
      <c r="C393">
        <v>35.78</v>
      </c>
      <c r="D393">
        <v>36</v>
      </c>
      <c r="E393">
        <v>0.9938888888888889</v>
      </c>
      <c r="F393">
        <v>0.02683063163778647</v>
      </c>
      <c r="G393">
        <v>0.001226723886073477</v>
      </c>
      <c r="H393">
        <v>0.02</v>
      </c>
      <c r="I393">
        <v>0.04845405654042523</v>
      </c>
      <c r="J393" t="s">
        <v>370</v>
      </c>
      <c r="K393" t="s">
        <v>512</v>
      </c>
      <c r="L393">
        <v>3.64</v>
      </c>
      <c r="M393">
        <v>0.96</v>
      </c>
      <c r="N393">
        <v>0.2637362637362637</v>
      </c>
      <c r="O393">
        <v>1</v>
      </c>
      <c r="P393">
        <v>0.05081623913789235</v>
      </c>
      <c r="Q393">
        <v>0.190532560389087</v>
      </c>
      <c r="R393" t="s">
        <v>779</v>
      </c>
      <c r="S393" t="s">
        <v>783</v>
      </c>
      <c r="T393">
        <v>22932.664914</v>
      </c>
      <c r="U393" s="2">
        <v>44513</v>
      </c>
      <c r="V393" t="s">
        <v>796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23.92</v>
      </c>
      <c r="D394">
        <v>26</v>
      </c>
      <c r="E394">
        <v>0.92</v>
      </c>
      <c r="F394">
        <v>0.03093645484949832</v>
      </c>
      <c r="G394">
        <v>0.01681614782195462</v>
      </c>
      <c r="H394">
        <v>0</v>
      </c>
      <c r="I394">
        <v>0.04829005337122094</v>
      </c>
      <c r="J394" t="s">
        <v>370</v>
      </c>
      <c r="K394" t="s">
        <v>370</v>
      </c>
      <c r="L394">
        <v>2.4</v>
      </c>
      <c r="M394">
        <v>0.74</v>
      </c>
      <c r="N394">
        <v>0.3083333333333333</v>
      </c>
      <c r="O394">
        <v>10</v>
      </c>
      <c r="P394">
        <v>0.04900903024942593</v>
      </c>
      <c r="Q394">
        <v>0.681945443247432</v>
      </c>
      <c r="R394" t="s">
        <v>779</v>
      </c>
      <c r="S394" t="s">
        <v>789</v>
      </c>
      <c r="T394">
        <v>22429.194086</v>
      </c>
      <c r="U394" s="2">
        <v>44490</v>
      </c>
      <c r="V394" t="s">
        <v>800</v>
      </c>
    </row>
    <row r="395" spans="1:22">
      <c r="A395" s="1" t="s">
        <v>415</v>
      </c>
      <c r="B395">
        <f>HYPERLINK("https://www.suredividend.com/sure-analysis-PSB/","PS Business Parks, Inc.")</f>
        <v>0</v>
      </c>
      <c r="C395">
        <v>178.5</v>
      </c>
      <c r="D395">
        <v>161</v>
      </c>
      <c r="E395">
        <v>1.108695652173913</v>
      </c>
      <c r="F395">
        <v>0.02352941176470588</v>
      </c>
      <c r="G395">
        <v>-0.02042536479033519</v>
      </c>
      <c r="H395">
        <v>0.045</v>
      </c>
      <c r="I395">
        <v>0.04806991129103122</v>
      </c>
      <c r="J395" t="s">
        <v>370</v>
      </c>
      <c r="K395" t="s">
        <v>370</v>
      </c>
      <c r="L395">
        <v>6.98</v>
      </c>
      <c r="M395">
        <v>4.2</v>
      </c>
      <c r="N395">
        <v>0.6017191977077364</v>
      </c>
      <c r="O395">
        <v>0</v>
      </c>
      <c r="P395">
        <v>0.05997935097636264</v>
      </c>
      <c r="Q395">
        <v>0.322160829465937</v>
      </c>
      <c r="R395" t="s">
        <v>781</v>
      </c>
      <c r="S395" t="s">
        <v>793</v>
      </c>
      <c r="T395">
        <v>4884.444988</v>
      </c>
      <c r="U395" s="2">
        <v>44513</v>
      </c>
      <c r="V395" t="s">
        <v>794</v>
      </c>
    </row>
    <row r="396" spans="1:22">
      <c r="A396" s="1" t="s">
        <v>416</v>
      </c>
      <c r="B396">
        <f>HYPERLINK("https://www.suredividend.com/sure-analysis-PNC/","PNC Financial Services Group")</f>
        <v>0</v>
      </c>
      <c r="C396">
        <v>204.82</v>
      </c>
      <c r="D396">
        <v>180</v>
      </c>
      <c r="E396">
        <v>1.137888888888889</v>
      </c>
      <c r="F396">
        <v>0.02441167854701689</v>
      </c>
      <c r="G396">
        <v>-0.02550407215110573</v>
      </c>
      <c r="H396">
        <v>0.05</v>
      </c>
      <c r="I396">
        <v>0.04789047677458758</v>
      </c>
      <c r="J396" t="s">
        <v>370</v>
      </c>
      <c r="K396" t="s">
        <v>512</v>
      </c>
      <c r="L396">
        <v>14.3</v>
      </c>
      <c r="M396">
        <v>5</v>
      </c>
      <c r="N396">
        <v>0.3496503496503496</v>
      </c>
      <c r="O396">
        <v>11</v>
      </c>
      <c r="P396">
        <v>0.05061112176150684</v>
      </c>
      <c r="Q396">
        <v>0.7027849536733101</v>
      </c>
      <c r="R396" t="s">
        <v>779</v>
      </c>
      <c r="S396" t="s">
        <v>789</v>
      </c>
      <c r="T396">
        <v>86053.894713</v>
      </c>
      <c r="U396" s="2">
        <v>44490</v>
      </c>
      <c r="V396" t="s">
        <v>802</v>
      </c>
    </row>
    <row r="397" spans="1:22">
      <c r="A397" s="1" t="s">
        <v>417</v>
      </c>
      <c r="B397">
        <f>HYPERLINK("https://www.suredividend.com/sure-analysis-BUD/","Anheuser-Busch In Bev SA/NV")</f>
        <v>0</v>
      </c>
      <c r="C397">
        <v>60.01</v>
      </c>
      <c r="D397">
        <v>62</v>
      </c>
      <c r="E397">
        <v>0.9679032258064516</v>
      </c>
      <c r="F397">
        <v>0.00949841693051158</v>
      </c>
      <c r="G397">
        <v>0.006545965802019715</v>
      </c>
      <c r="H397">
        <v>0.03</v>
      </c>
      <c r="I397">
        <v>0.04483677688153342</v>
      </c>
      <c r="J397" t="s">
        <v>370</v>
      </c>
      <c r="K397" t="s">
        <v>777</v>
      </c>
      <c r="L397">
        <v>3.08</v>
      </c>
      <c r="M397">
        <v>0.57</v>
      </c>
      <c r="N397">
        <v>0.185064935064935</v>
      </c>
      <c r="O397">
        <v>0</v>
      </c>
      <c r="P397">
        <v>0</v>
      </c>
      <c r="Q397">
        <v>-0.09448011244918801</v>
      </c>
      <c r="R397" t="s">
        <v>779</v>
      </c>
      <c r="S397" t="s">
        <v>788</v>
      </c>
      <c r="T397">
        <v>120326.629171</v>
      </c>
      <c r="U397" s="2">
        <v>44439</v>
      </c>
      <c r="V397" t="s">
        <v>799</v>
      </c>
    </row>
    <row r="398" spans="1:22">
      <c r="A398" s="1" t="s">
        <v>418</v>
      </c>
      <c r="B398">
        <f>HYPERLINK("https://www.suredividend.com/sure-analysis-PDCO/","Patterson Companies Inc.")</f>
        <v>0</v>
      </c>
      <c r="C398">
        <v>33.67</v>
      </c>
      <c r="D398">
        <v>30</v>
      </c>
      <c r="E398">
        <v>1.122333333333333</v>
      </c>
      <c r="F398">
        <v>0.03088803088803089</v>
      </c>
      <c r="G398">
        <v>-0.02281761944472549</v>
      </c>
      <c r="H398">
        <v>0.04</v>
      </c>
      <c r="I398">
        <v>0.043704912501493</v>
      </c>
      <c r="J398" t="s">
        <v>370</v>
      </c>
      <c r="K398" t="s">
        <v>776</v>
      </c>
      <c r="L398">
        <v>2</v>
      </c>
      <c r="M398">
        <v>1.04</v>
      </c>
      <c r="N398">
        <v>0.52</v>
      </c>
      <c r="O398">
        <v>0</v>
      </c>
      <c r="P398">
        <v>0</v>
      </c>
      <c r="Q398">
        <v>0.238087955224913</v>
      </c>
      <c r="R398" t="s">
        <v>779</v>
      </c>
      <c r="S398" t="s">
        <v>784</v>
      </c>
      <c r="T398">
        <v>3308.948</v>
      </c>
      <c r="U398" s="2">
        <v>44446</v>
      </c>
      <c r="V398" t="s">
        <v>799</v>
      </c>
    </row>
    <row r="399" spans="1:22">
      <c r="A399" s="1" t="s">
        <v>419</v>
      </c>
      <c r="B399">
        <f>HYPERLINK("https://www.suredividend.com/sure-analysis-ASML/","ASML Holding NV")</f>
        <v>0</v>
      </c>
      <c r="C399">
        <v>856.72</v>
      </c>
      <c r="D399">
        <v>583</v>
      </c>
      <c r="E399">
        <v>1.469502572898799</v>
      </c>
      <c r="F399">
        <v>0.004879073676346998</v>
      </c>
      <c r="G399">
        <v>-0.07409606493542442</v>
      </c>
      <c r="H399">
        <v>0.12</v>
      </c>
      <c r="I399">
        <v>0.0434751250893135</v>
      </c>
      <c r="J399" t="s">
        <v>370</v>
      </c>
      <c r="K399" t="s">
        <v>777</v>
      </c>
      <c r="L399">
        <v>15.75</v>
      </c>
      <c r="M399">
        <v>4.18</v>
      </c>
      <c r="N399">
        <v>0.2653968253968254</v>
      </c>
      <c r="O399">
        <v>6</v>
      </c>
      <c r="P399">
        <v>0.1500691206588143</v>
      </c>
      <c r="Q399">
        <v>1.040888709101884</v>
      </c>
      <c r="R399" t="s">
        <v>779</v>
      </c>
      <c r="S399" t="s">
        <v>785</v>
      </c>
      <c r="T399">
        <v>352003.539783</v>
      </c>
      <c r="U399" s="2">
        <v>44494</v>
      </c>
      <c r="V399" t="s">
        <v>798</v>
      </c>
    </row>
    <row r="400" spans="1:22">
      <c r="A400" s="1" t="s">
        <v>420</v>
      </c>
      <c r="B400">
        <f>HYPERLINK("https://www.suredividend.com/sure-analysis-WPC/","W. P. Carey Inc")</f>
        <v>0</v>
      </c>
      <c r="C400">
        <v>78.76000000000001</v>
      </c>
      <c r="D400">
        <v>62</v>
      </c>
      <c r="E400">
        <v>1.270322580645161</v>
      </c>
      <c r="F400">
        <v>0.05345352971051295</v>
      </c>
      <c r="G400">
        <v>-0.0467272108571416</v>
      </c>
      <c r="H400">
        <v>0.035</v>
      </c>
      <c r="I400">
        <v>0.04035894387829209</v>
      </c>
      <c r="J400" t="s">
        <v>370</v>
      </c>
      <c r="K400" t="s">
        <v>775</v>
      </c>
      <c r="L400">
        <v>4.98</v>
      </c>
      <c r="M400">
        <v>4.21</v>
      </c>
      <c r="N400">
        <v>0.8453815261044176</v>
      </c>
      <c r="O400">
        <v>23</v>
      </c>
      <c r="P400">
        <v>0.02007985595231565</v>
      </c>
      <c r="Q400">
        <v>0.176686278104635</v>
      </c>
      <c r="R400" t="s">
        <v>781</v>
      </c>
      <c r="S400" t="s">
        <v>793</v>
      </c>
      <c r="T400">
        <v>14466.889605</v>
      </c>
      <c r="U400" s="2">
        <v>44440</v>
      </c>
      <c r="V400" t="s">
        <v>797</v>
      </c>
    </row>
    <row r="401" spans="1:22">
      <c r="A401" s="1" t="s">
        <v>421</v>
      </c>
      <c r="B401">
        <f>HYPERLINK("https://www.suredividend.com/sure-analysis-MGA/","Magna International Inc.")</f>
        <v>0</v>
      </c>
      <c r="C401">
        <v>88.55</v>
      </c>
      <c r="D401">
        <v>69</v>
      </c>
      <c r="E401">
        <v>1.283333333333333</v>
      </c>
      <c r="F401">
        <v>0.0194240542066629</v>
      </c>
      <c r="G401">
        <v>-0.04866800073269073</v>
      </c>
      <c r="H401">
        <v>0.07000000000000001</v>
      </c>
      <c r="I401">
        <v>0.03958096275433798</v>
      </c>
      <c r="J401" t="s">
        <v>370</v>
      </c>
      <c r="K401" t="s">
        <v>512</v>
      </c>
      <c r="L401">
        <v>6.87</v>
      </c>
      <c r="M401">
        <v>1.72</v>
      </c>
      <c r="N401">
        <v>0.2503639010189229</v>
      </c>
      <c r="O401">
        <v>11</v>
      </c>
      <c r="P401">
        <v>0.0750624704770988</v>
      </c>
      <c r="Q401">
        <v>0.481919654338768</v>
      </c>
      <c r="R401" t="s">
        <v>779</v>
      </c>
      <c r="S401" t="s">
        <v>790</v>
      </c>
      <c r="T401">
        <v>25994.079716</v>
      </c>
      <c r="U401" s="2">
        <v>44428</v>
      </c>
      <c r="V401" t="s">
        <v>803</v>
      </c>
    </row>
    <row r="402" spans="1:22">
      <c r="A402" s="1" t="s">
        <v>422</v>
      </c>
      <c r="B402">
        <f>HYPERLINK("https://www.suredividend.com/sure-analysis-GE/","General Electric Co.")</f>
        <v>0</v>
      </c>
      <c r="C402">
        <v>106.67</v>
      </c>
      <c r="D402">
        <v>72</v>
      </c>
      <c r="E402">
        <v>1.481527777777778</v>
      </c>
      <c r="F402">
        <v>0.002999906252929596</v>
      </c>
      <c r="G402">
        <v>-0.07560403679269956</v>
      </c>
      <c r="H402">
        <v>0.12</v>
      </c>
      <c r="I402">
        <v>0.03792138762952968</v>
      </c>
      <c r="J402" t="s">
        <v>370</v>
      </c>
      <c r="K402" t="s">
        <v>777</v>
      </c>
      <c r="L402">
        <v>2</v>
      </c>
      <c r="M402">
        <v>0.32</v>
      </c>
      <c r="N402">
        <v>0.16</v>
      </c>
      <c r="O402">
        <v>0</v>
      </c>
      <c r="P402">
        <v>0</v>
      </c>
      <c r="Q402">
        <v>0.458570576432948</v>
      </c>
      <c r="R402" t="s">
        <v>779</v>
      </c>
      <c r="S402" t="s">
        <v>786</v>
      </c>
      <c r="T402">
        <v>118148.573602</v>
      </c>
      <c r="U402" s="2">
        <v>44500</v>
      </c>
      <c r="V402" t="s">
        <v>794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48.55</v>
      </c>
      <c r="D403">
        <v>42</v>
      </c>
      <c r="E403">
        <v>1.155952380952381</v>
      </c>
      <c r="F403">
        <v>0.01400617919670443</v>
      </c>
      <c r="G403">
        <v>-0.02856888188798723</v>
      </c>
      <c r="H403">
        <v>0.05</v>
      </c>
      <c r="I403">
        <v>0.03262575744526131</v>
      </c>
      <c r="J403" t="s">
        <v>370</v>
      </c>
      <c r="K403" t="s">
        <v>512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0.301037054613895</v>
      </c>
      <c r="R403" t="s">
        <v>779</v>
      </c>
      <c r="S403" t="s">
        <v>786</v>
      </c>
      <c r="T403">
        <v>11568.964019</v>
      </c>
      <c r="U403" s="2">
        <v>44506</v>
      </c>
      <c r="V403" t="s">
        <v>795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100.6</v>
      </c>
      <c r="D404">
        <v>78.3</v>
      </c>
      <c r="E404">
        <v>1.284802043422733</v>
      </c>
      <c r="F404">
        <v>0.03916500994035785</v>
      </c>
      <c r="G404">
        <v>-0.04888560160657884</v>
      </c>
      <c r="H404">
        <v>0.043</v>
      </c>
      <c r="I404">
        <v>0.03241413697124629</v>
      </c>
      <c r="J404" t="s">
        <v>370</v>
      </c>
      <c r="K404" t="s">
        <v>776</v>
      </c>
      <c r="L404">
        <v>5.22</v>
      </c>
      <c r="M404">
        <v>3.94</v>
      </c>
      <c r="N404">
        <v>0.7547892720306514</v>
      </c>
      <c r="O404">
        <v>10</v>
      </c>
      <c r="P404">
        <v>0.02693571566003095</v>
      </c>
      <c r="Q404">
        <v>0.093275393094238</v>
      </c>
      <c r="R404" t="s">
        <v>779</v>
      </c>
      <c r="S404" t="s">
        <v>791</v>
      </c>
      <c r="T404">
        <v>76841.43928799999</v>
      </c>
      <c r="U404" s="2">
        <v>44509</v>
      </c>
      <c r="V404" t="s">
        <v>804</v>
      </c>
    </row>
    <row r="405" spans="1:22">
      <c r="A405" s="1" t="s">
        <v>425</v>
      </c>
      <c r="B405">
        <f>HYPERLINK("https://www.suredividend.com/sure-analysis-MMC/","Marsh &amp; McLennan Cos., Inc.")</f>
        <v>0</v>
      </c>
      <c r="C405">
        <v>167.35</v>
      </c>
      <c r="D405">
        <v>135</v>
      </c>
      <c r="E405">
        <v>1.23962962962963</v>
      </c>
      <c r="F405">
        <v>0.01278757095906782</v>
      </c>
      <c r="G405">
        <v>-0.04205271617107154</v>
      </c>
      <c r="H405">
        <v>0.062</v>
      </c>
      <c r="I405">
        <v>0.0312111620537936</v>
      </c>
      <c r="J405" t="s">
        <v>370</v>
      </c>
      <c r="K405" t="s">
        <v>777</v>
      </c>
      <c r="L405">
        <v>6.15</v>
      </c>
      <c r="M405">
        <v>2.14</v>
      </c>
      <c r="N405">
        <v>0.3479674796747967</v>
      </c>
      <c r="O405">
        <v>12</v>
      </c>
      <c r="P405">
        <v>0.05971834352437777</v>
      </c>
      <c r="Q405">
        <v>0.493595102226594</v>
      </c>
      <c r="R405" t="s">
        <v>779</v>
      </c>
      <c r="S405" t="s">
        <v>789</v>
      </c>
      <c r="T405">
        <v>84166.05767900001</v>
      </c>
      <c r="U405" s="2">
        <v>44505</v>
      </c>
      <c r="V405" t="s">
        <v>801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46.05</v>
      </c>
      <c r="D406">
        <v>39.1</v>
      </c>
      <c r="E406">
        <v>1.177749360613811</v>
      </c>
      <c r="F406">
        <v>0.04603691639522259</v>
      </c>
      <c r="G406">
        <v>-0.03219151673038601</v>
      </c>
      <c r="H406">
        <v>0.015</v>
      </c>
      <c r="I406">
        <v>0.02950315128086767</v>
      </c>
      <c r="J406" t="s">
        <v>370</v>
      </c>
      <c r="K406" t="s">
        <v>776</v>
      </c>
      <c r="L406">
        <v>2.79</v>
      </c>
      <c r="M406">
        <v>2.12</v>
      </c>
      <c r="N406">
        <v>0.7598566308243728</v>
      </c>
      <c r="O406">
        <v>21</v>
      </c>
      <c r="P406">
        <v>0.01643215369887963</v>
      </c>
      <c r="Q406">
        <v>0.215045376450623</v>
      </c>
      <c r="R406" t="s">
        <v>781</v>
      </c>
      <c r="S406" t="s">
        <v>793</v>
      </c>
      <c r="T406">
        <v>8097.69489</v>
      </c>
      <c r="U406" s="2">
        <v>44506</v>
      </c>
      <c r="V406" t="s">
        <v>804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131.25</v>
      </c>
      <c r="D407">
        <v>94</v>
      </c>
      <c r="E407">
        <v>1.396276595744681</v>
      </c>
      <c r="F407">
        <v>0.02681904761904762</v>
      </c>
      <c r="G407">
        <v>-0.06458203093371406</v>
      </c>
      <c r="H407">
        <v>0.065</v>
      </c>
      <c r="I407">
        <v>0.02854774088248724</v>
      </c>
      <c r="J407" t="s">
        <v>370</v>
      </c>
      <c r="K407" t="s">
        <v>512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1.026525198938992</v>
      </c>
      <c r="R407" t="s">
        <v>779</v>
      </c>
      <c r="S407" t="s">
        <v>789</v>
      </c>
      <c r="T407">
        <v>1345.305776</v>
      </c>
      <c r="U407" s="2">
        <v>44513</v>
      </c>
      <c r="V407" t="s">
        <v>801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38.67</v>
      </c>
      <c r="D408">
        <v>47</v>
      </c>
      <c r="E408">
        <v>0.8227659574468086</v>
      </c>
      <c r="F408">
        <v>0.01551590380139643</v>
      </c>
      <c r="G408">
        <v>0.03978784714928962</v>
      </c>
      <c r="H408">
        <v>-0.036</v>
      </c>
      <c r="I408">
        <v>0.02849432907451765</v>
      </c>
      <c r="J408" t="s">
        <v>370</v>
      </c>
      <c r="K408" t="s">
        <v>512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0.106824891595165</v>
      </c>
      <c r="R408" t="s">
        <v>779</v>
      </c>
      <c r="S408" t="s">
        <v>790</v>
      </c>
      <c r="T408">
        <v>5906.147671</v>
      </c>
      <c r="U408" s="2">
        <v>44503</v>
      </c>
      <c r="V408" t="s">
        <v>804</v>
      </c>
    </row>
    <row r="409" spans="1:22">
      <c r="A409" s="1" t="s">
        <v>429</v>
      </c>
      <c r="B409">
        <f>HYPERLINK("https://www.suredividend.com/sure-analysis-ESRT/","Empire State Realty Trust Inc")</f>
        <v>0</v>
      </c>
      <c r="C409">
        <v>10.54</v>
      </c>
      <c r="D409">
        <v>9.75</v>
      </c>
      <c r="E409">
        <v>1.081025641025641</v>
      </c>
      <c r="F409">
        <v>0.01328273244781784</v>
      </c>
      <c r="G409">
        <v>-0.01546127956019183</v>
      </c>
      <c r="H409">
        <v>0.02</v>
      </c>
      <c r="I409">
        <v>0.02660872052789376</v>
      </c>
      <c r="J409" t="s">
        <v>370</v>
      </c>
      <c r="K409" t="s">
        <v>777</v>
      </c>
      <c r="L409">
        <v>0.64</v>
      </c>
      <c r="M409">
        <v>0.14</v>
      </c>
      <c r="N409">
        <v>0.21875</v>
      </c>
      <c r="O409">
        <v>0</v>
      </c>
      <c r="P409">
        <v>0.2011244339814311</v>
      </c>
      <c r="Q409">
        <v>0.369952292812638</v>
      </c>
      <c r="R409" t="s">
        <v>781</v>
      </c>
      <c r="S409" t="s">
        <v>793</v>
      </c>
      <c r="T409">
        <v>1812.040629</v>
      </c>
      <c r="U409" s="2">
        <v>44500</v>
      </c>
      <c r="V409" t="s">
        <v>794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47.05</v>
      </c>
      <c r="D410">
        <v>39</v>
      </c>
      <c r="E410">
        <v>1.206410256410256</v>
      </c>
      <c r="F410">
        <v>0.01785334750265675</v>
      </c>
      <c r="G410">
        <v>-0.03683432740551573</v>
      </c>
      <c r="H410">
        <v>0.04</v>
      </c>
      <c r="I410">
        <v>0.02442282684860198</v>
      </c>
      <c r="J410" t="s">
        <v>370</v>
      </c>
      <c r="K410" t="s">
        <v>512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0.7733539487462521</v>
      </c>
      <c r="R410" t="s">
        <v>779</v>
      </c>
      <c r="S410" t="s">
        <v>789</v>
      </c>
      <c r="T410">
        <v>383915.381941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HYPERLINK("https://www.suredividend.com/sure-analysis-STZ/","Constellation Brands Inc")</f>
        <v>0</v>
      </c>
      <c r="C411">
        <v>228.82</v>
      </c>
      <c r="D411">
        <v>185</v>
      </c>
      <c r="E411">
        <v>1.236864864864865</v>
      </c>
      <c r="F411">
        <v>0.01328555196224106</v>
      </c>
      <c r="G411">
        <v>-0.04162483854812415</v>
      </c>
      <c r="H411">
        <v>0.05</v>
      </c>
      <c r="I411">
        <v>0.02089830175853469</v>
      </c>
      <c r="J411" t="s">
        <v>370</v>
      </c>
      <c r="K411" t="s">
        <v>777</v>
      </c>
      <c r="L411">
        <v>10.3</v>
      </c>
      <c r="M411">
        <v>3.04</v>
      </c>
      <c r="N411">
        <v>0.2951456310679612</v>
      </c>
      <c r="O411">
        <v>6</v>
      </c>
      <c r="P411">
        <v>0.05000563166277994</v>
      </c>
      <c r="Q411">
        <v>0.13589728410125</v>
      </c>
      <c r="R411" t="s">
        <v>779</v>
      </c>
      <c r="S411" t="s">
        <v>788</v>
      </c>
      <c r="T411">
        <v>42442.60355</v>
      </c>
      <c r="U411" s="2">
        <v>44475</v>
      </c>
      <c r="V411" t="s">
        <v>800</v>
      </c>
    </row>
    <row r="412" spans="1:22">
      <c r="A412" s="1" t="s">
        <v>432</v>
      </c>
      <c r="B412">
        <f>HYPERLINK("https://www.suredividend.com/sure-analysis-GOLD/","Barrick Gold Corp.")</f>
        <v>0</v>
      </c>
      <c r="C412">
        <v>20.9</v>
      </c>
      <c r="D412">
        <v>23</v>
      </c>
      <c r="E412">
        <v>0.908695652173913</v>
      </c>
      <c r="F412">
        <v>0.01722488038277512</v>
      </c>
      <c r="G412">
        <v>0.01933352960895784</v>
      </c>
      <c r="H412">
        <v>-0.02</v>
      </c>
      <c r="I412">
        <v>0.01776658059145775</v>
      </c>
      <c r="J412" t="s">
        <v>370</v>
      </c>
      <c r="K412" t="s">
        <v>512</v>
      </c>
      <c r="L412">
        <v>1.25</v>
      </c>
      <c r="M412">
        <v>0.36</v>
      </c>
      <c r="N412">
        <v>0.288</v>
      </c>
      <c r="O412">
        <v>5</v>
      </c>
      <c r="P412">
        <v>0.04095039696925684</v>
      </c>
      <c r="Q412">
        <v>-0.186217066302719</v>
      </c>
      <c r="R412" t="s">
        <v>779</v>
      </c>
      <c r="S412" t="s">
        <v>787</v>
      </c>
      <c r="T412">
        <v>36902.756534</v>
      </c>
      <c r="U412" s="2">
        <v>44428</v>
      </c>
      <c r="V412" t="s">
        <v>798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404.81</v>
      </c>
      <c r="D413">
        <v>671</v>
      </c>
      <c r="E413">
        <v>0.6032935916542473</v>
      </c>
      <c r="F413">
        <v>0.01976235764926756</v>
      </c>
      <c r="G413">
        <v>0.1063543749750717</v>
      </c>
      <c r="H413">
        <v>-0.1</v>
      </c>
      <c r="I413">
        <v>0.01739899523495669</v>
      </c>
      <c r="J413" t="s">
        <v>370</v>
      </c>
      <c r="K413" t="s">
        <v>512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0.8809987582648781</v>
      </c>
      <c r="R413" t="s">
        <v>779</v>
      </c>
      <c r="S413" t="s">
        <v>789</v>
      </c>
      <c r="T413">
        <v>135561.025532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44.62</v>
      </c>
      <c r="D414">
        <v>36</v>
      </c>
      <c r="E414">
        <v>1.239444444444444</v>
      </c>
      <c r="F414">
        <v>0.02689376961004034</v>
      </c>
      <c r="G414">
        <v>-0.04202409253329287</v>
      </c>
      <c r="H414">
        <v>0.03</v>
      </c>
      <c r="I414">
        <v>0.01594543821443906</v>
      </c>
      <c r="J414" t="s">
        <v>370</v>
      </c>
      <c r="K414" t="s">
        <v>370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0.796329328397931</v>
      </c>
      <c r="R414" t="s">
        <v>779</v>
      </c>
      <c r="S414" t="s">
        <v>789</v>
      </c>
      <c r="T414">
        <v>30228.909614</v>
      </c>
      <c r="U414" s="2">
        <v>44488</v>
      </c>
      <c r="V414" t="s">
        <v>795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37.69</v>
      </c>
      <c r="D415">
        <v>26</v>
      </c>
      <c r="E415">
        <v>1.449615384615385</v>
      </c>
      <c r="F415">
        <v>0.01273547360042452</v>
      </c>
      <c r="G415">
        <v>-0.07156940803793888</v>
      </c>
      <c r="H415">
        <v>0.075</v>
      </c>
      <c r="I415">
        <v>0.01333582634806962</v>
      </c>
      <c r="J415" t="s">
        <v>370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0.19018541134673</v>
      </c>
      <c r="R415" t="s">
        <v>779</v>
      </c>
      <c r="S415" t="s">
        <v>786</v>
      </c>
      <c r="T415">
        <v>8874.233439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HYPERLINK("https://www.suredividend.com/sure-analysis-OSK/","Oshkosh Corp")</f>
        <v>0</v>
      </c>
      <c r="C416">
        <v>115.02</v>
      </c>
      <c r="D416">
        <v>84</v>
      </c>
      <c r="E416">
        <v>1.369285714285714</v>
      </c>
      <c r="F416">
        <v>0.01286732742131803</v>
      </c>
      <c r="G416">
        <v>-0.06092304177250984</v>
      </c>
      <c r="H416">
        <v>0.06</v>
      </c>
      <c r="I416">
        <v>0.0120184939331176</v>
      </c>
      <c r="J416" t="s">
        <v>370</v>
      </c>
      <c r="K416" t="s">
        <v>512</v>
      </c>
      <c r="L416">
        <v>6</v>
      </c>
      <c r="M416">
        <v>1.48</v>
      </c>
      <c r="N416">
        <v>0.2466666666666667</v>
      </c>
      <c r="O416">
        <v>9</v>
      </c>
      <c r="P416">
        <v>0.09122612129561491</v>
      </c>
      <c r="Q416">
        <v>0.554452739384649</v>
      </c>
      <c r="R416" t="s">
        <v>779</v>
      </c>
      <c r="S416" t="s">
        <v>786</v>
      </c>
      <c r="T416">
        <v>7963.131665</v>
      </c>
      <c r="U416" s="2">
        <v>44502</v>
      </c>
      <c r="V416" t="s">
        <v>800</v>
      </c>
    </row>
    <row r="417" spans="1:22">
      <c r="A417" s="1" t="s">
        <v>437</v>
      </c>
      <c r="B417">
        <f>HYPERLINK("https://www.suredividend.com/sure-analysis-LOGI/","Logitech International SA")</f>
        <v>0</v>
      </c>
      <c r="C417">
        <v>80.04000000000001</v>
      </c>
      <c r="D417">
        <v>67</v>
      </c>
      <c r="E417">
        <v>1.194626865671642</v>
      </c>
      <c r="F417">
        <v>0.01174412793603198</v>
      </c>
      <c r="G417">
        <v>-0.0349417126467525</v>
      </c>
      <c r="H417">
        <v>0.03</v>
      </c>
      <c r="I417">
        <v>0.009641643908126607</v>
      </c>
      <c r="J417" t="s">
        <v>370</v>
      </c>
      <c r="K417" t="s">
        <v>512</v>
      </c>
      <c r="L417">
        <v>4.47</v>
      </c>
      <c r="M417">
        <v>0.9399999999999999</v>
      </c>
      <c r="N417">
        <v>0.2102908277404922</v>
      </c>
      <c r="O417">
        <v>7</v>
      </c>
      <c r="P417">
        <v>0.09943565902862628</v>
      </c>
      <c r="Q417">
        <v>-0.01404191809468</v>
      </c>
      <c r="R417" t="s">
        <v>779</v>
      </c>
      <c r="S417" t="s">
        <v>785</v>
      </c>
      <c r="T417">
        <v>14054.526478</v>
      </c>
      <c r="U417" s="2">
        <v>44495</v>
      </c>
      <c r="V417" t="s">
        <v>795</v>
      </c>
    </row>
    <row r="418" spans="1:22">
      <c r="A418" s="1" t="s">
        <v>438</v>
      </c>
      <c r="B418">
        <f>HYPERLINK("https://www.suredividend.com/sure-analysis-PAYX/","Paychex Inc.")</f>
        <v>0</v>
      </c>
      <c r="C418">
        <v>124.48</v>
      </c>
      <c r="D418">
        <v>86</v>
      </c>
      <c r="E418">
        <v>1.447441860465116</v>
      </c>
      <c r="F418">
        <v>0.02120822622107969</v>
      </c>
      <c r="G418">
        <v>-0.07129074326212226</v>
      </c>
      <c r="H418">
        <v>0.06</v>
      </c>
      <c r="I418">
        <v>0.009345201771524092</v>
      </c>
      <c r="J418" t="s">
        <v>370</v>
      </c>
      <c r="K418" t="s">
        <v>512</v>
      </c>
      <c r="L418">
        <v>3.44</v>
      </c>
      <c r="M418">
        <v>2.64</v>
      </c>
      <c r="N418">
        <v>0.7674418604651163</v>
      </c>
      <c r="O418">
        <v>10</v>
      </c>
      <c r="P418">
        <v>0.0500384320386924</v>
      </c>
      <c r="Q418">
        <v>0.390272776874608</v>
      </c>
      <c r="R418" t="s">
        <v>779</v>
      </c>
      <c r="S418" t="s">
        <v>786</v>
      </c>
      <c r="T418">
        <v>44929.60583</v>
      </c>
      <c r="U418" s="2">
        <v>44472</v>
      </c>
      <c r="V418" t="s">
        <v>795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89.58</v>
      </c>
      <c r="D419">
        <v>83</v>
      </c>
      <c r="E419">
        <v>1.079277108433735</v>
      </c>
      <c r="F419">
        <v>0.03036392051797276</v>
      </c>
      <c r="G419">
        <v>-0.01514247662931201</v>
      </c>
      <c r="H419">
        <v>-0.01</v>
      </c>
      <c r="I419">
        <v>0.009242478681965816</v>
      </c>
      <c r="J419" t="s">
        <v>370</v>
      </c>
      <c r="K419" t="s">
        <v>370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0.832180823614408</v>
      </c>
      <c r="R419" t="s">
        <v>779</v>
      </c>
      <c r="S419" t="s">
        <v>789</v>
      </c>
      <c r="T419">
        <v>11640.755417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HYPERLINK("https://www.suredividend.com/sure-analysis-PACW/","Pacwest Bancorp")</f>
        <v>0</v>
      </c>
      <c r="C420">
        <v>48.9</v>
      </c>
      <c r="D420">
        <v>50</v>
      </c>
      <c r="E420">
        <v>0.978</v>
      </c>
      <c r="F420">
        <v>0.02044989775051125</v>
      </c>
      <c r="G420">
        <v>0.004459033826313963</v>
      </c>
      <c r="H420">
        <v>-0.02</v>
      </c>
      <c r="I420">
        <v>0.00847840659231891</v>
      </c>
      <c r="J420" t="s">
        <v>370</v>
      </c>
      <c r="K420" t="s">
        <v>512</v>
      </c>
      <c r="L420">
        <v>5</v>
      </c>
      <c r="M420">
        <v>1</v>
      </c>
      <c r="N420">
        <v>0.2</v>
      </c>
      <c r="O420">
        <v>0</v>
      </c>
      <c r="P420">
        <v>0.05061112176150684</v>
      </c>
      <c r="Q420">
        <v>1.088062909476991</v>
      </c>
      <c r="R420" t="s">
        <v>779</v>
      </c>
      <c r="S420" t="s">
        <v>789</v>
      </c>
      <c r="T420">
        <v>5672.932993</v>
      </c>
      <c r="U420" s="2">
        <v>44493</v>
      </c>
      <c r="V420" t="s">
        <v>798</v>
      </c>
    </row>
    <row r="421" spans="1:22">
      <c r="A421" s="1" t="s">
        <v>441</v>
      </c>
      <c r="B421">
        <f>HYPERLINK("https://www.suredividend.com/sure-analysis-DLR/","Digital Realty Trust Inc")</f>
        <v>0</v>
      </c>
      <c r="C421">
        <v>161.2</v>
      </c>
      <c r="D421">
        <v>104</v>
      </c>
      <c r="E421">
        <v>1.55</v>
      </c>
      <c r="F421">
        <v>0.02878411910669975</v>
      </c>
      <c r="G421">
        <v>-0.08391945429938918</v>
      </c>
      <c r="H421">
        <v>0.06</v>
      </c>
      <c r="I421">
        <v>0.006977264736147903</v>
      </c>
      <c r="J421" t="s">
        <v>370</v>
      </c>
      <c r="K421" t="s">
        <v>370</v>
      </c>
      <c r="L421">
        <v>6.52</v>
      </c>
      <c r="M421">
        <v>4.64</v>
      </c>
      <c r="N421">
        <v>0.7116564417177914</v>
      </c>
      <c r="O421">
        <v>17</v>
      </c>
      <c r="P421">
        <v>0.06002162190703619</v>
      </c>
      <c r="Q421">
        <v>0.115793561060289</v>
      </c>
      <c r="R421" t="s">
        <v>781</v>
      </c>
      <c r="S421" t="s">
        <v>793</v>
      </c>
      <c r="T421">
        <v>44361.655122</v>
      </c>
      <c r="U421" s="2">
        <v>44497</v>
      </c>
      <c r="V421" t="s">
        <v>800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12.59</v>
      </c>
      <c r="D422">
        <v>10</v>
      </c>
      <c r="E422">
        <v>1.259</v>
      </c>
      <c r="F422">
        <v>0.003177124702144559</v>
      </c>
      <c r="G422">
        <v>-0.04501872976436916</v>
      </c>
      <c r="H422">
        <v>0.05</v>
      </c>
      <c r="I422">
        <v>0.006304806496861826</v>
      </c>
      <c r="J422" t="s">
        <v>370</v>
      </c>
      <c r="K422" t="s">
        <v>777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0.6394075484809101</v>
      </c>
      <c r="R422" t="s">
        <v>779</v>
      </c>
      <c r="S422" t="s">
        <v>786</v>
      </c>
      <c r="T422">
        <v>3353.45093</v>
      </c>
      <c r="U422" s="2">
        <v>44513</v>
      </c>
      <c r="V422" t="s">
        <v>801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331.73</v>
      </c>
      <c r="D423">
        <v>242</v>
      </c>
      <c r="E423">
        <v>1.370785123966942</v>
      </c>
      <c r="F423">
        <v>0.02411599795014017</v>
      </c>
      <c r="G423">
        <v>-0.06112857034674546</v>
      </c>
      <c r="H423">
        <v>0.04</v>
      </c>
      <c r="I423">
        <v>0.004632145897966788</v>
      </c>
      <c r="J423" t="s">
        <v>370</v>
      </c>
      <c r="K423" t="s">
        <v>512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0.4498977478090541</v>
      </c>
      <c r="R423" t="s">
        <v>781</v>
      </c>
      <c r="S423" t="s">
        <v>793</v>
      </c>
      <c r="T423">
        <v>57723.214061</v>
      </c>
      <c r="U423" s="2">
        <v>44502</v>
      </c>
      <c r="V423" t="s">
        <v>795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34.88</v>
      </c>
      <c r="D424">
        <v>21</v>
      </c>
      <c r="E424">
        <v>1.660952380952381</v>
      </c>
      <c r="F424">
        <v>0.02436926605504587</v>
      </c>
      <c r="G424">
        <v>-0.09649915370345696</v>
      </c>
      <c r="H424">
        <v>0.08</v>
      </c>
      <c r="I424">
        <v>0.003790777794422606</v>
      </c>
      <c r="J424" t="s">
        <v>370</v>
      </c>
      <c r="K424" t="s">
        <v>370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0.335481683788715</v>
      </c>
      <c r="R424" t="s">
        <v>779</v>
      </c>
      <c r="S424" t="s">
        <v>786</v>
      </c>
      <c r="T424">
        <v>71983.378136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72.92</v>
      </c>
      <c r="D425">
        <v>29</v>
      </c>
      <c r="E425">
        <v>2.51448275862069</v>
      </c>
      <c r="F425">
        <v>0.003291278113000549</v>
      </c>
      <c r="G425">
        <v>-0.1684080672846264</v>
      </c>
      <c r="H425">
        <v>0.2</v>
      </c>
      <c r="I425">
        <v>0.001207393550648028</v>
      </c>
      <c r="J425" t="s">
        <v>370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0.5490573475871341</v>
      </c>
      <c r="R425" t="s">
        <v>779</v>
      </c>
      <c r="S425" t="s">
        <v>785</v>
      </c>
      <c r="T425">
        <v>60515.40946</v>
      </c>
      <c r="U425" s="2">
        <v>44461</v>
      </c>
      <c r="V425" t="s">
        <v>796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205.05</v>
      </c>
      <c r="D426">
        <v>123</v>
      </c>
      <c r="E426">
        <v>1.667073170731707</v>
      </c>
      <c r="F426">
        <v>0.01960497439648866</v>
      </c>
      <c r="G426">
        <v>-0.09716358505725986</v>
      </c>
      <c r="H426">
        <v>0.08</v>
      </c>
      <c r="I426">
        <v>-0.00097805655512051</v>
      </c>
      <c r="J426" t="s">
        <v>370</v>
      </c>
      <c r="K426" t="s">
        <v>512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0.350266375044989</v>
      </c>
      <c r="R426" t="s">
        <v>779</v>
      </c>
      <c r="S426" t="s">
        <v>788</v>
      </c>
      <c r="T426">
        <v>119403.445609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133.01</v>
      </c>
      <c r="D427">
        <v>90</v>
      </c>
      <c r="E427">
        <v>1.477888888888889</v>
      </c>
      <c r="F427">
        <v>0.02255469513570408</v>
      </c>
      <c r="G427">
        <v>-0.0751492710564422</v>
      </c>
      <c r="H427">
        <v>0.05</v>
      </c>
      <c r="I427">
        <v>-0.002270230588242828</v>
      </c>
      <c r="J427" t="s">
        <v>370</v>
      </c>
      <c r="K427" t="s">
        <v>370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0.14979861170623</v>
      </c>
      <c r="R427" t="s">
        <v>779</v>
      </c>
      <c r="S427" t="s">
        <v>788</v>
      </c>
      <c r="T427">
        <v>377688.55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61.17</v>
      </c>
      <c r="D428">
        <v>48</v>
      </c>
      <c r="E428">
        <v>1.274375</v>
      </c>
      <c r="F428">
        <v>0.0111165604054275</v>
      </c>
      <c r="G428">
        <v>-0.04733425104515332</v>
      </c>
      <c r="H428">
        <v>0.03</v>
      </c>
      <c r="I428">
        <v>-0.006349829196458434</v>
      </c>
      <c r="J428" t="s">
        <v>370</v>
      </c>
      <c r="K428" t="s">
        <v>512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1.107780078182071</v>
      </c>
      <c r="R428" t="s">
        <v>779</v>
      </c>
      <c r="S428" t="s">
        <v>785</v>
      </c>
      <c r="T428">
        <v>3665.437307</v>
      </c>
      <c r="U428" s="2">
        <v>44419</v>
      </c>
      <c r="V428" t="s">
        <v>795</v>
      </c>
    </row>
    <row r="429" spans="1:22">
      <c r="A429" s="1" t="s">
        <v>449</v>
      </c>
      <c r="B429">
        <f>HYPERLINK("https://www.suredividend.com/sure-analysis-M/","Macy`s Inc")</f>
        <v>0</v>
      </c>
      <c r="C429">
        <v>31.05</v>
      </c>
      <c r="D429">
        <v>25</v>
      </c>
      <c r="E429">
        <v>1.242</v>
      </c>
      <c r="F429">
        <v>0.01932367149758454</v>
      </c>
      <c r="G429">
        <v>-0.04241864617107571</v>
      </c>
      <c r="H429">
        <v>0.01</v>
      </c>
      <c r="I429">
        <v>-0.01170225301287409</v>
      </c>
      <c r="J429" t="s">
        <v>370</v>
      </c>
      <c r="K429" t="s">
        <v>512</v>
      </c>
      <c r="L429">
        <v>3.6</v>
      </c>
      <c r="M429">
        <v>0.6</v>
      </c>
      <c r="N429">
        <v>0.1666666666666667</v>
      </c>
      <c r="O429">
        <v>0</v>
      </c>
      <c r="P429">
        <v>0</v>
      </c>
      <c r="Q429">
        <v>3.16820613873038</v>
      </c>
      <c r="R429" t="s">
        <v>779</v>
      </c>
      <c r="S429" t="s">
        <v>790</v>
      </c>
      <c r="T429">
        <v>9433.609579</v>
      </c>
      <c r="U429" s="2">
        <v>44433</v>
      </c>
      <c r="V429" t="s">
        <v>797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60.64</v>
      </c>
      <c r="D430">
        <v>37</v>
      </c>
      <c r="E430">
        <v>1.638918918918919</v>
      </c>
      <c r="F430">
        <v>0.01846965699208443</v>
      </c>
      <c r="G430">
        <v>-0.09408279809209918</v>
      </c>
      <c r="H430">
        <v>0.06</v>
      </c>
      <c r="I430">
        <v>-0.0150574725558511</v>
      </c>
      <c r="J430" t="s">
        <v>370</v>
      </c>
      <c r="K430" t="s">
        <v>512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0.305673741956039</v>
      </c>
      <c r="R430" t="s">
        <v>779</v>
      </c>
      <c r="S430" t="s">
        <v>786</v>
      </c>
      <c r="T430">
        <v>34647.840445</v>
      </c>
      <c r="U430" s="2">
        <v>44482</v>
      </c>
      <c r="V430" t="s">
        <v>800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245.43</v>
      </c>
      <c r="D431">
        <v>147</v>
      </c>
      <c r="E431">
        <v>1.669591836734694</v>
      </c>
      <c r="F431">
        <v>0.02591370248135925</v>
      </c>
      <c r="G431">
        <v>-0.09743614469997941</v>
      </c>
      <c r="H431">
        <v>0.054</v>
      </c>
      <c r="I431">
        <v>-0.01731091138572416</v>
      </c>
      <c r="J431" t="s">
        <v>370</v>
      </c>
      <c r="K431" t="s">
        <v>370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0.471574152658798</v>
      </c>
      <c r="R431" t="s">
        <v>781</v>
      </c>
      <c r="S431" t="s">
        <v>793</v>
      </c>
      <c r="T431">
        <v>33678.959611</v>
      </c>
      <c r="U431" s="2">
        <v>44503</v>
      </c>
      <c r="V431" t="s">
        <v>804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41.25</v>
      </c>
      <c r="D432">
        <v>23</v>
      </c>
      <c r="E432">
        <v>1.793478260869565</v>
      </c>
      <c r="F432">
        <v>0.03006060606060606</v>
      </c>
      <c r="G432">
        <v>-0.1102647917736911</v>
      </c>
      <c r="H432">
        <v>0.055</v>
      </c>
      <c r="I432">
        <v>-0.0211034131881539</v>
      </c>
      <c r="J432" t="s">
        <v>370</v>
      </c>
      <c r="K432" t="s">
        <v>370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0.147697466947712</v>
      </c>
      <c r="R432" t="s">
        <v>779</v>
      </c>
      <c r="S432" t="s">
        <v>786</v>
      </c>
      <c r="T432">
        <v>1785.933719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31.98</v>
      </c>
      <c r="D433">
        <v>28</v>
      </c>
      <c r="E433">
        <v>1.142142857142857</v>
      </c>
      <c r="F433">
        <v>0.001250781738586617</v>
      </c>
      <c r="G433">
        <v>-0.02623106782661466</v>
      </c>
      <c r="H433">
        <v>0</v>
      </c>
      <c r="I433">
        <v>-0.02110731127320042</v>
      </c>
      <c r="J433" t="s">
        <v>370</v>
      </c>
      <c r="K433" t="s">
        <v>777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1.72300549184711</v>
      </c>
      <c r="R433" t="s">
        <v>779</v>
      </c>
      <c r="S433" t="s">
        <v>792</v>
      </c>
      <c r="T433">
        <v>29962.10987</v>
      </c>
      <c r="U433" s="2">
        <v>44515</v>
      </c>
      <c r="V433" t="s">
        <v>802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30.49</v>
      </c>
      <c r="D434">
        <v>25</v>
      </c>
      <c r="E434">
        <v>1.2196</v>
      </c>
      <c r="F434">
        <v>0.009839291571006888</v>
      </c>
      <c r="G434">
        <v>-0.03892668944704958</v>
      </c>
      <c r="H434">
        <v>0</v>
      </c>
      <c r="I434">
        <v>-0.02173452121634101</v>
      </c>
      <c r="J434" t="s">
        <v>370</v>
      </c>
      <c r="K434" t="s">
        <v>512</v>
      </c>
      <c r="L434">
        <v>11.2</v>
      </c>
      <c r="M434">
        <v>0.3</v>
      </c>
      <c r="N434">
        <v>0.02678571428571429</v>
      </c>
      <c r="O434">
        <v>0</v>
      </c>
      <c r="P434">
        <v>0.1486983549970351</v>
      </c>
      <c r="Q434">
        <v>0.967438517546326</v>
      </c>
      <c r="R434" t="s">
        <v>779</v>
      </c>
      <c r="S434" t="s">
        <v>787</v>
      </c>
      <c r="T434">
        <v>30938.851623</v>
      </c>
      <c r="U434" s="2">
        <v>44434</v>
      </c>
      <c r="V434" t="s">
        <v>802</v>
      </c>
    </row>
    <row r="435" spans="1:22">
      <c r="A435" s="1" t="s">
        <v>455</v>
      </c>
      <c r="B435">
        <f>HYPERLINK("https://www.suredividend.com/sure-analysis-TER/","Teradyne, Inc.")</f>
        <v>0</v>
      </c>
      <c r="C435">
        <v>148.17</v>
      </c>
      <c r="D435">
        <v>87</v>
      </c>
      <c r="E435">
        <v>1.703103448275862</v>
      </c>
      <c r="F435">
        <v>0.002699601808733212</v>
      </c>
      <c r="G435">
        <v>-0.1010163476293865</v>
      </c>
      <c r="H435">
        <v>0.08</v>
      </c>
      <c r="I435">
        <v>-0.02506775382657345</v>
      </c>
      <c r="J435" t="s">
        <v>370</v>
      </c>
      <c r="K435" t="s">
        <v>777</v>
      </c>
      <c r="L435">
        <v>4.82</v>
      </c>
      <c r="M435">
        <v>0.4</v>
      </c>
      <c r="N435">
        <v>0.08298755186721991</v>
      </c>
      <c r="O435">
        <v>0</v>
      </c>
      <c r="P435">
        <v>0.09856054330611763</v>
      </c>
      <c r="Q435">
        <v>0.433806005135377</v>
      </c>
      <c r="R435" t="s">
        <v>779</v>
      </c>
      <c r="S435" t="s">
        <v>785</v>
      </c>
      <c r="T435">
        <v>23829.604465</v>
      </c>
      <c r="U435" s="2">
        <v>44502</v>
      </c>
      <c r="V435" t="s">
        <v>805</v>
      </c>
    </row>
    <row r="436" spans="1:22">
      <c r="A436" s="1" t="s">
        <v>456</v>
      </c>
      <c r="B436">
        <f>HYPERLINK("https://www.suredividend.com/sure-analysis-AUY/","Yamana Gold Inc.")</f>
        <v>0</v>
      </c>
      <c r="C436">
        <v>4.56</v>
      </c>
      <c r="D436">
        <v>3.29</v>
      </c>
      <c r="E436">
        <v>1.386018237082067</v>
      </c>
      <c r="F436">
        <v>0.02412280701754386</v>
      </c>
      <c r="G436">
        <v>-0.06320144740282108</v>
      </c>
      <c r="H436">
        <v>0.02</v>
      </c>
      <c r="I436">
        <v>-0.0306850887283423</v>
      </c>
      <c r="J436" t="s">
        <v>370</v>
      </c>
      <c r="K436" t="s">
        <v>370</v>
      </c>
      <c r="L436">
        <v>4.7</v>
      </c>
      <c r="M436">
        <v>0.11</v>
      </c>
      <c r="N436">
        <v>0.02340425531914894</v>
      </c>
      <c r="O436">
        <v>0</v>
      </c>
      <c r="P436">
        <v>-0.2288378350232393</v>
      </c>
      <c r="Q436">
        <v>-0.16484909494249</v>
      </c>
      <c r="R436" t="s">
        <v>779</v>
      </c>
      <c r="S436" t="s">
        <v>787</v>
      </c>
      <c r="T436">
        <v>4314.742929</v>
      </c>
      <c r="U436" s="2">
        <v>44443</v>
      </c>
      <c r="V436" t="s">
        <v>796</v>
      </c>
    </row>
    <row r="437" spans="1:22">
      <c r="A437" s="1" t="s">
        <v>457</v>
      </c>
      <c r="B437">
        <f>HYPERLINK("https://www.suredividend.com/sure-analysis-INFY/","Infosys Ltd")</f>
        <v>0</v>
      </c>
      <c r="C437">
        <v>23.63</v>
      </c>
      <c r="D437">
        <v>13</v>
      </c>
      <c r="E437">
        <v>1.817692307692308</v>
      </c>
      <c r="F437">
        <v>0.01692763436309776</v>
      </c>
      <c r="G437">
        <v>-0.1126480129956433</v>
      </c>
      <c r="H437">
        <v>0.06</v>
      </c>
      <c r="I437">
        <v>-0.03341228330167545</v>
      </c>
      <c r="J437" t="s">
        <v>370</v>
      </c>
      <c r="K437" t="s">
        <v>512</v>
      </c>
      <c r="L437">
        <v>0.7</v>
      </c>
      <c r="M437">
        <v>0.4</v>
      </c>
      <c r="N437">
        <v>0.5714285714285715</v>
      </c>
      <c r="O437">
        <v>6</v>
      </c>
      <c r="P437">
        <v>0.08083252207959757</v>
      </c>
      <c r="Q437">
        <v>0.5799578677901921</v>
      </c>
      <c r="R437" t="s">
        <v>779</v>
      </c>
      <c r="S437" t="s">
        <v>785</v>
      </c>
      <c r="T437">
        <v>100992.140783</v>
      </c>
      <c r="U437" s="2">
        <v>44498</v>
      </c>
      <c r="V437" t="s">
        <v>797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40.86</v>
      </c>
      <c r="D438">
        <v>40</v>
      </c>
      <c r="E438">
        <v>1.0215</v>
      </c>
      <c r="F438">
        <v>0.007342143906020558</v>
      </c>
      <c r="G438">
        <v>-0.00424538980097966</v>
      </c>
      <c r="H438">
        <v>-0.04</v>
      </c>
      <c r="I438">
        <v>-0.03381421490935499</v>
      </c>
      <c r="J438" t="s">
        <v>370</v>
      </c>
      <c r="K438" t="s">
        <v>777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1.060366798260956</v>
      </c>
      <c r="R438" t="s">
        <v>779</v>
      </c>
      <c r="S438" t="s">
        <v>787</v>
      </c>
      <c r="T438">
        <v>60545.163065</v>
      </c>
      <c r="U438" s="2">
        <v>44498</v>
      </c>
      <c r="V438" t="s">
        <v>798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65.48</v>
      </c>
      <c r="D439">
        <v>49</v>
      </c>
      <c r="E439">
        <v>1.336326530612245</v>
      </c>
      <c r="F439">
        <v>0.01588271227855834</v>
      </c>
      <c r="G439">
        <v>-0.0563357947337445</v>
      </c>
      <c r="H439">
        <v>0</v>
      </c>
      <c r="I439">
        <v>-0.03423415202310176</v>
      </c>
      <c r="J439" t="s">
        <v>370</v>
      </c>
      <c r="K439" t="s">
        <v>512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0.9511964939806641</v>
      </c>
      <c r="R439" t="s">
        <v>779</v>
      </c>
      <c r="S439" t="s">
        <v>787</v>
      </c>
      <c r="T439">
        <v>13129.533112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HYPERLINK("https://www.suredividend.com/sure-analysis-RACE/","Ferrari N.V.")</f>
        <v>0</v>
      </c>
      <c r="C440">
        <v>258.85</v>
      </c>
      <c r="D440">
        <v>146</v>
      </c>
      <c r="E440">
        <v>1.772945205479452</v>
      </c>
      <c r="F440">
        <v>0.004017770909793317</v>
      </c>
      <c r="G440">
        <v>-0.1082134103765878</v>
      </c>
      <c r="H440">
        <v>0.075</v>
      </c>
      <c r="I440">
        <v>-0.03546894040787285</v>
      </c>
      <c r="J440" t="s">
        <v>370</v>
      </c>
      <c r="K440" t="s">
        <v>777</v>
      </c>
      <c r="L440">
        <v>5.02</v>
      </c>
      <c r="M440">
        <v>1.04</v>
      </c>
      <c r="N440">
        <v>0.2071713147410359</v>
      </c>
      <c r="O440">
        <v>0</v>
      </c>
      <c r="P440">
        <v>0.07455979142129743</v>
      </c>
      <c r="Q440">
        <v>0.257157415245069</v>
      </c>
      <c r="R440" t="s">
        <v>779</v>
      </c>
      <c r="S440" t="s">
        <v>790</v>
      </c>
      <c r="T440">
        <v>47770.261917</v>
      </c>
      <c r="U440" s="2">
        <v>44502</v>
      </c>
      <c r="V440" t="s">
        <v>795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309.4</v>
      </c>
      <c r="D441">
        <v>164</v>
      </c>
      <c r="E441">
        <v>1.886585365853658</v>
      </c>
      <c r="F441">
        <v>0.006981254040077571</v>
      </c>
      <c r="G441">
        <v>-0.119225550306774</v>
      </c>
      <c r="H441">
        <v>0.08</v>
      </c>
      <c r="I441">
        <v>-0.03789750724484831</v>
      </c>
      <c r="J441" t="s">
        <v>370</v>
      </c>
      <c r="K441" t="s">
        <v>777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0.676621974720455</v>
      </c>
      <c r="R441" t="s">
        <v>779</v>
      </c>
      <c r="S441" t="s">
        <v>786</v>
      </c>
      <c r="T441">
        <v>28290.367818</v>
      </c>
      <c r="U441" s="2">
        <v>44498</v>
      </c>
      <c r="V441" t="s">
        <v>797</v>
      </c>
    </row>
    <row r="442" spans="1:22">
      <c r="A442" s="1" t="s">
        <v>462</v>
      </c>
      <c r="B442">
        <f>HYPERLINK("https://www.suredividend.com/sure-analysis-KKR/","KKR &amp; Co. Inc.")</f>
        <v>0</v>
      </c>
      <c r="C442">
        <v>77.77</v>
      </c>
      <c r="D442">
        <v>36</v>
      </c>
      <c r="E442">
        <v>2.160277777777778</v>
      </c>
      <c r="F442">
        <v>0.007457888646007458</v>
      </c>
      <c r="G442">
        <v>-0.142768580873292</v>
      </c>
      <c r="H442">
        <v>0.1</v>
      </c>
      <c r="I442">
        <v>-0.04733202424156746</v>
      </c>
      <c r="J442" t="s">
        <v>370</v>
      </c>
      <c r="K442" t="s">
        <v>777</v>
      </c>
      <c r="L442">
        <v>2.4</v>
      </c>
      <c r="M442">
        <v>0.58</v>
      </c>
      <c r="N442">
        <v>0.2416666666666667</v>
      </c>
      <c r="O442">
        <v>2</v>
      </c>
      <c r="P442">
        <v>0.01667585861299536</v>
      </c>
      <c r="Q442">
        <v>1.120415254716295</v>
      </c>
      <c r="R442" t="s">
        <v>779</v>
      </c>
      <c r="S442" t="s">
        <v>789</v>
      </c>
      <c r="T442">
        <v>46087.026982</v>
      </c>
      <c r="U442" s="2">
        <v>44507</v>
      </c>
      <c r="V442" t="s">
        <v>805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122.95</v>
      </c>
      <c r="D443">
        <v>86</v>
      </c>
      <c r="E443">
        <v>1.429651162790698</v>
      </c>
      <c r="F443">
        <v>0.004473363155754372</v>
      </c>
      <c r="G443">
        <v>-0.06899077632938821</v>
      </c>
      <c r="H443">
        <v>0.017</v>
      </c>
      <c r="I443">
        <v>-0.04736902082580352</v>
      </c>
      <c r="J443" t="s">
        <v>370</v>
      </c>
      <c r="K443" t="s">
        <v>777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0.373640191214291</v>
      </c>
      <c r="R443" t="s">
        <v>779</v>
      </c>
      <c r="S443" t="s">
        <v>785</v>
      </c>
      <c r="T443">
        <v>154984.124185</v>
      </c>
      <c r="U443" s="2">
        <v>44501</v>
      </c>
      <c r="V443" t="s">
        <v>795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120.33</v>
      </c>
      <c r="D444">
        <v>66</v>
      </c>
      <c r="E444">
        <v>1.823181818181818</v>
      </c>
      <c r="F444">
        <v>0.01346297681376215</v>
      </c>
      <c r="G444">
        <v>-0.113183012336176</v>
      </c>
      <c r="H444">
        <v>0.05</v>
      </c>
      <c r="I444">
        <v>-0.05109633839829719</v>
      </c>
      <c r="J444" t="s">
        <v>370</v>
      </c>
      <c r="K444" t="s">
        <v>512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0.467513709361535</v>
      </c>
      <c r="R444" t="s">
        <v>779</v>
      </c>
      <c r="S444" t="s">
        <v>786</v>
      </c>
      <c r="T444">
        <v>58403.126481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29.61</v>
      </c>
      <c r="D445">
        <v>16</v>
      </c>
      <c r="E445">
        <v>1.850625</v>
      </c>
      <c r="F445">
        <v>0.01688618709895306</v>
      </c>
      <c r="G445">
        <v>-0.1158289008290612</v>
      </c>
      <c r="H445">
        <v>0.04</v>
      </c>
      <c r="I445">
        <v>-0.05451258348544374</v>
      </c>
      <c r="J445" t="s">
        <v>370</v>
      </c>
      <c r="K445" t="s">
        <v>512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0.5180960137736921</v>
      </c>
      <c r="R445" t="s">
        <v>779</v>
      </c>
      <c r="S445" t="s">
        <v>792</v>
      </c>
      <c r="T445">
        <v>10698.426928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300.25</v>
      </c>
      <c r="D446">
        <v>104</v>
      </c>
      <c r="E446">
        <v>2.887019230769231</v>
      </c>
      <c r="F446">
        <v>0.0005328892589508742</v>
      </c>
      <c r="G446">
        <v>-0.191071634134376</v>
      </c>
      <c r="H446">
        <v>0.15</v>
      </c>
      <c r="I446">
        <v>-0.06902191539951474</v>
      </c>
      <c r="J446" t="s">
        <v>370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1.287869548524064</v>
      </c>
      <c r="R446" t="s">
        <v>779</v>
      </c>
      <c r="S446" t="s">
        <v>785</v>
      </c>
      <c r="T446">
        <v>757318.8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201.94</v>
      </c>
      <c r="D447">
        <v>97</v>
      </c>
      <c r="E447">
        <v>2.081855670103093</v>
      </c>
      <c r="F447">
        <v>0.00732890957710211</v>
      </c>
      <c r="G447">
        <v>-0.1364054826966625</v>
      </c>
      <c r="H447">
        <v>0.05</v>
      </c>
      <c r="I447">
        <v>-0.08097764934118767</v>
      </c>
      <c r="J447" t="s">
        <v>370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0.4787522570929371</v>
      </c>
      <c r="R447" t="s">
        <v>779</v>
      </c>
      <c r="S447" t="s">
        <v>787</v>
      </c>
      <c r="T447">
        <v>26843.573064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3.45</v>
      </c>
      <c r="D448">
        <v>1.98</v>
      </c>
      <c r="E448">
        <v>1.742424242424242</v>
      </c>
      <c r="F448">
        <v>0.01159420289855072</v>
      </c>
      <c r="G448">
        <v>-0.1051108984500554</v>
      </c>
      <c r="H448">
        <v>-0.01</v>
      </c>
      <c r="I448">
        <v>-0.09599178000287767</v>
      </c>
      <c r="J448" t="s">
        <v>370</v>
      </c>
      <c r="K448" t="s">
        <v>512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-0.138799355358581</v>
      </c>
      <c r="R448" t="s">
        <v>781</v>
      </c>
      <c r="S448" t="s">
        <v>793</v>
      </c>
      <c r="T448">
        <v>817.362537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63.73</v>
      </c>
      <c r="D449">
        <v>29</v>
      </c>
      <c r="E449">
        <v>2.197586206896552</v>
      </c>
      <c r="F449">
        <v>0.01255295779067943</v>
      </c>
      <c r="G449">
        <v>-0.1456991944317811</v>
      </c>
      <c r="H449">
        <v>0.03</v>
      </c>
      <c r="I449">
        <v>-0.1000620919705493</v>
      </c>
      <c r="J449" t="s">
        <v>370</v>
      </c>
      <c r="K449" t="s">
        <v>512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2.127609578000893</v>
      </c>
      <c r="R449" t="s">
        <v>779</v>
      </c>
      <c r="S449" t="s">
        <v>787</v>
      </c>
      <c r="T449">
        <v>10336.964939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10.19</v>
      </c>
      <c r="D450">
        <v>2.11</v>
      </c>
      <c r="E450">
        <v>4.829383886255925</v>
      </c>
      <c r="F450">
        <v>0.01177625122669284</v>
      </c>
      <c r="G450">
        <v>-0.2701700958101133</v>
      </c>
      <c r="H450">
        <v>0.1</v>
      </c>
      <c r="I450">
        <v>-0.1670590368612432</v>
      </c>
      <c r="J450" t="s">
        <v>370</v>
      </c>
      <c r="K450" t="s">
        <v>512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3.973706197473829</v>
      </c>
      <c r="R450" t="s">
        <v>779</v>
      </c>
      <c r="S450" t="s">
        <v>792</v>
      </c>
      <c r="T450">
        <v>2578.329578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12.66</v>
      </c>
      <c r="D451">
        <v>19</v>
      </c>
      <c r="E451">
        <v>0.6663157894736842</v>
      </c>
      <c r="F451">
        <v>0.0947867298578199</v>
      </c>
      <c r="G451">
        <v>0.08458596218382519</v>
      </c>
      <c r="H451">
        <v>0.04</v>
      </c>
      <c r="I451">
        <v>0.1812472477361868</v>
      </c>
      <c r="J451" t="s">
        <v>512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0.537566791465232</v>
      </c>
      <c r="R451" t="s">
        <v>780</v>
      </c>
      <c r="S451" t="s">
        <v>792</v>
      </c>
      <c r="T451">
        <v>4990.844225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10.33</v>
      </c>
      <c r="D452">
        <v>18</v>
      </c>
      <c r="E452">
        <v>0.5738888888888889</v>
      </c>
      <c r="F452">
        <v>0.08809293320425944</v>
      </c>
      <c r="G452">
        <v>0.1174663050303959</v>
      </c>
      <c r="H452">
        <v>0.01</v>
      </c>
      <c r="I452">
        <v>0.1783541105840638</v>
      </c>
      <c r="J452" t="s">
        <v>512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0.314352523993678</v>
      </c>
      <c r="R452" t="s">
        <v>779</v>
      </c>
      <c r="S452" t="s">
        <v>792</v>
      </c>
      <c r="T452">
        <v>65797.12532000001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17.53</v>
      </c>
      <c r="D453">
        <v>25</v>
      </c>
      <c r="E453">
        <v>0.7012</v>
      </c>
      <c r="F453">
        <v>0.07986309184255561</v>
      </c>
      <c r="G453">
        <v>0.07357309372214327</v>
      </c>
      <c r="H453">
        <v>0.02</v>
      </c>
      <c r="I453">
        <v>0.1514292187311557</v>
      </c>
      <c r="J453" t="s">
        <v>512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0.5680857978550531</v>
      </c>
      <c r="R453" t="s">
        <v>780</v>
      </c>
      <c r="S453" t="s">
        <v>792</v>
      </c>
      <c r="T453">
        <v>1831.496291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HYPERLINK("https://www.suredividend.com/sure-analysis-ARLP/","Alliance Resource Partners, LP")</f>
        <v>0</v>
      </c>
      <c r="C454">
        <v>10.64</v>
      </c>
      <c r="D454">
        <v>11.02</v>
      </c>
      <c r="E454">
        <v>0.9655172413793104</v>
      </c>
      <c r="F454">
        <v>0.07518796992481203</v>
      </c>
      <c r="G454">
        <v>0.007042949693310208</v>
      </c>
      <c r="H454">
        <v>0.08</v>
      </c>
      <c r="I454">
        <v>0.1486235666674505</v>
      </c>
      <c r="J454" t="s">
        <v>512</v>
      </c>
      <c r="K454" t="s">
        <v>776</v>
      </c>
      <c r="L454">
        <v>1.5</v>
      </c>
      <c r="M454">
        <v>0.8</v>
      </c>
      <c r="N454">
        <v>0.5333333333333333</v>
      </c>
      <c r="O454">
        <v>1</v>
      </c>
      <c r="P454">
        <v>0.08083252207959757</v>
      </c>
      <c r="Q454">
        <v>2.233756978263452</v>
      </c>
      <c r="R454" t="s">
        <v>780</v>
      </c>
      <c r="S454" t="s">
        <v>792</v>
      </c>
      <c r="T454">
        <v>1385.155935</v>
      </c>
      <c r="U454" s="2">
        <v>44497</v>
      </c>
      <c r="V454" t="s">
        <v>794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15.44</v>
      </c>
      <c r="D455">
        <v>21</v>
      </c>
      <c r="E455">
        <v>0.7352380952380952</v>
      </c>
      <c r="F455">
        <v>0.08419689119170985</v>
      </c>
      <c r="G455">
        <v>0.06344344772927557</v>
      </c>
      <c r="H455">
        <v>0.01</v>
      </c>
      <c r="I455">
        <v>0.1452260439613067</v>
      </c>
      <c r="J455" t="s">
        <v>512</v>
      </c>
      <c r="K455" t="s">
        <v>776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0.007327803162525</v>
      </c>
      <c r="R455" t="s">
        <v>780</v>
      </c>
      <c r="S455" t="s">
        <v>791</v>
      </c>
      <c r="T455">
        <v>963.707298</v>
      </c>
      <c r="U455" s="2">
        <v>44429</v>
      </c>
      <c r="V455" t="s">
        <v>798</v>
      </c>
    </row>
    <row r="456" spans="1:22">
      <c r="A456" s="1" t="s">
        <v>476</v>
      </c>
      <c r="B456">
        <f>HYPERLINK("https://www.suredividend.com/sure-analysis-EOG/","EOG Resources, Inc.")</f>
        <v>0</v>
      </c>
      <c r="C456">
        <v>93.2</v>
      </c>
      <c r="D456">
        <v>135</v>
      </c>
      <c r="E456">
        <v>0.6903703703703704</v>
      </c>
      <c r="F456">
        <v>0.03218884120171674</v>
      </c>
      <c r="G456">
        <v>0.07692031913731334</v>
      </c>
      <c r="H456">
        <v>0.03</v>
      </c>
      <c r="I456">
        <v>0.1349580207866004</v>
      </c>
      <c r="J456" t="s">
        <v>512</v>
      </c>
      <c r="K456" t="s">
        <v>370</v>
      </c>
      <c r="L456">
        <v>7.5</v>
      </c>
      <c r="M456">
        <v>3</v>
      </c>
      <c r="N456">
        <v>0.4</v>
      </c>
      <c r="O456">
        <v>4</v>
      </c>
      <c r="P456">
        <v>0.08009875865888949</v>
      </c>
      <c r="Q456">
        <v>1.271094550714087</v>
      </c>
      <c r="R456" t="s">
        <v>779</v>
      </c>
      <c r="S456" t="s">
        <v>792</v>
      </c>
      <c r="T456">
        <v>55489.933798</v>
      </c>
      <c r="U456" s="2">
        <v>44513</v>
      </c>
      <c r="V456" t="s">
        <v>805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10.59</v>
      </c>
      <c r="D457">
        <v>12.1</v>
      </c>
      <c r="E457">
        <v>0.8752066115702479</v>
      </c>
      <c r="F457">
        <v>0.06798866855524079</v>
      </c>
      <c r="G457">
        <v>0.02701759024868355</v>
      </c>
      <c r="H457">
        <v>0.05</v>
      </c>
      <c r="I457">
        <v>0.1341672319074589</v>
      </c>
      <c r="J457" t="s">
        <v>512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0.495206048404128</v>
      </c>
      <c r="R457" t="s">
        <v>780</v>
      </c>
      <c r="S457" t="s">
        <v>792</v>
      </c>
      <c r="T457">
        <v>7552.114387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10.85</v>
      </c>
      <c r="D458">
        <v>12</v>
      </c>
      <c r="E458">
        <v>0.9041666666666667</v>
      </c>
      <c r="F458">
        <v>0.02119815668202765</v>
      </c>
      <c r="G458">
        <v>0.02035266134905989</v>
      </c>
      <c r="H458">
        <v>0.09</v>
      </c>
      <c r="I458">
        <v>0.1310791174315209</v>
      </c>
      <c r="J458" t="s">
        <v>512</v>
      </c>
      <c r="K458" t="s">
        <v>512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-0.05656328065310801</v>
      </c>
      <c r="R458" t="s">
        <v>779</v>
      </c>
      <c r="S458" t="s">
        <v>785</v>
      </c>
      <c r="T458">
        <v>33765.629314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HYPERLINK("https://www.suredividend.com/sure-analysis-PGR/","Progressive Corp.")</f>
        <v>0</v>
      </c>
      <c r="C459">
        <v>93.98</v>
      </c>
      <c r="D459">
        <v>96</v>
      </c>
      <c r="E459">
        <v>0.9789583333333334</v>
      </c>
      <c r="F459">
        <v>0.0521387529261545</v>
      </c>
      <c r="G459">
        <v>0.004262297419202365</v>
      </c>
      <c r="H459">
        <v>0.08</v>
      </c>
      <c r="I459">
        <v>0.1286265654272865</v>
      </c>
      <c r="J459" t="s">
        <v>512</v>
      </c>
      <c r="K459" t="s">
        <v>370</v>
      </c>
      <c r="L459">
        <v>7.7</v>
      </c>
      <c r="M459">
        <v>4.9</v>
      </c>
      <c r="N459">
        <v>0.6363636363636364</v>
      </c>
      <c r="O459">
        <v>4</v>
      </c>
      <c r="P459">
        <v>0.0800087729241854</v>
      </c>
      <c r="Q459">
        <v>0.05555811661299401</v>
      </c>
      <c r="R459" t="s">
        <v>779</v>
      </c>
      <c r="S459" t="s">
        <v>789</v>
      </c>
      <c r="T459">
        <v>56265.570163</v>
      </c>
      <c r="U459" s="2">
        <v>44494</v>
      </c>
      <c r="V459" t="s">
        <v>794</v>
      </c>
    </row>
    <row r="460" spans="1:22">
      <c r="A460" s="1" t="s">
        <v>480</v>
      </c>
      <c r="B460">
        <f>HYPERLINK("https://www.suredividend.com/sure-analysis-BHP/","BHP Group Limited")</f>
        <v>0</v>
      </c>
      <c r="C460">
        <v>53.74</v>
      </c>
      <c r="D460">
        <v>105</v>
      </c>
      <c r="E460">
        <v>0.5118095238095238</v>
      </c>
      <c r="F460">
        <v>0.06698920729438035</v>
      </c>
      <c r="G460">
        <v>0.1433477129948049</v>
      </c>
      <c r="H460">
        <v>-0.05</v>
      </c>
      <c r="I460">
        <v>0.1277442870509593</v>
      </c>
      <c r="J460" t="s">
        <v>512</v>
      </c>
      <c r="K460" t="s">
        <v>776</v>
      </c>
      <c r="L460">
        <v>7.5</v>
      </c>
      <c r="M460">
        <v>3.6</v>
      </c>
      <c r="N460">
        <v>0.48</v>
      </c>
      <c r="O460">
        <v>0</v>
      </c>
      <c r="P460">
        <v>-0.02328131613882611</v>
      </c>
      <c r="Q460">
        <v>0.154524605646836</v>
      </c>
      <c r="R460" t="s">
        <v>779</v>
      </c>
      <c r="S460" t="s">
        <v>787</v>
      </c>
      <c r="T460">
        <v>80423.853</v>
      </c>
      <c r="U460" s="2">
        <v>44447</v>
      </c>
      <c r="V460" t="s">
        <v>802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5.53</v>
      </c>
      <c r="D461">
        <v>7.5</v>
      </c>
      <c r="E461">
        <v>0.7373333333333334</v>
      </c>
      <c r="F461">
        <v>0.04520795660036166</v>
      </c>
      <c r="G461">
        <v>0.06283837425381056</v>
      </c>
      <c r="H461">
        <v>0.03</v>
      </c>
      <c r="I461">
        <v>0.1271803397104692</v>
      </c>
      <c r="J461" t="s">
        <v>512</v>
      </c>
      <c r="K461" t="s">
        <v>776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0.182513890344899</v>
      </c>
      <c r="R461" t="s">
        <v>779</v>
      </c>
      <c r="S461" t="s">
        <v>789</v>
      </c>
      <c r="T461">
        <v>2016.249071</v>
      </c>
      <c r="U461" s="2">
        <v>44464</v>
      </c>
      <c r="V461" t="s">
        <v>796</v>
      </c>
    </row>
    <row r="462" spans="1:22">
      <c r="A462" s="1" t="s">
        <v>482</v>
      </c>
      <c r="B462">
        <f>HYPERLINK("https://www.suredividend.com/sure-analysis-TPR/","Tapestry Inc")</f>
        <v>0</v>
      </c>
      <c r="C462">
        <v>44.9</v>
      </c>
      <c r="D462">
        <v>53</v>
      </c>
      <c r="E462">
        <v>0.8471698113207546</v>
      </c>
      <c r="F462">
        <v>0.022271714922049</v>
      </c>
      <c r="G462">
        <v>0.03372710931213008</v>
      </c>
      <c r="H462">
        <v>0.07000000000000001</v>
      </c>
      <c r="I462">
        <v>0.12058282460672</v>
      </c>
      <c r="J462" t="s">
        <v>512</v>
      </c>
      <c r="K462" t="s">
        <v>512</v>
      </c>
      <c r="L462">
        <v>3.33</v>
      </c>
      <c r="M462">
        <v>1</v>
      </c>
      <c r="N462">
        <v>0.3003003003003003</v>
      </c>
      <c r="O462">
        <v>0</v>
      </c>
      <c r="P462">
        <v>0</v>
      </c>
      <c r="Q462">
        <v>0.739253339649093</v>
      </c>
      <c r="R462" t="s">
        <v>779</v>
      </c>
      <c r="S462" t="s">
        <v>790</v>
      </c>
      <c r="T462">
        <v>12671.928677</v>
      </c>
      <c r="U462" s="2">
        <v>44513</v>
      </c>
      <c r="V462" t="s">
        <v>796</v>
      </c>
    </row>
    <row r="463" spans="1:22">
      <c r="A463" s="1" t="s">
        <v>483</v>
      </c>
      <c r="B463">
        <f>HYPERLINK("https://www.suredividend.com/sure-analysis-PTR/","PetroChina Co. Ltd.")</f>
        <v>0</v>
      </c>
      <c r="C463">
        <v>45.52</v>
      </c>
      <c r="D463">
        <v>90</v>
      </c>
      <c r="E463">
        <v>0.5057777777777778</v>
      </c>
      <c r="F463">
        <v>0.07403339191564147</v>
      </c>
      <c r="G463">
        <v>0.1460618373184221</v>
      </c>
      <c r="H463">
        <v>-0.06</v>
      </c>
      <c r="I463">
        <v>0.1196309141403902</v>
      </c>
      <c r="J463" t="s">
        <v>512</v>
      </c>
      <c r="K463" t="s">
        <v>776</v>
      </c>
      <c r="L463">
        <v>7.5</v>
      </c>
      <c r="M463">
        <v>3.37</v>
      </c>
      <c r="N463">
        <v>0.4493333333333334</v>
      </c>
      <c r="O463">
        <v>0</v>
      </c>
      <c r="P463">
        <v>-0.06024767149116905</v>
      </c>
      <c r="Q463">
        <v>0.579747254224204</v>
      </c>
      <c r="R463" t="s">
        <v>779</v>
      </c>
      <c r="S463" t="s">
        <v>792</v>
      </c>
      <c r="T463">
        <v>9671.73576</v>
      </c>
      <c r="U463" s="2">
        <v>44442</v>
      </c>
      <c r="V463" t="s">
        <v>802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100.21</v>
      </c>
      <c r="D464">
        <v>98</v>
      </c>
      <c r="E464">
        <v>1.022551020408163</v>
      </c>
      <c r="F464">
        <v>0.02794132322123541</v>
      </c>
      <c r="G464">
        <v>-0.004450169599732878</v>
      </c>
      <c r="H464">
        <v>0.1</v>
      </c>
      <c r="I464">
        <v>0.1186715533689153</v>
      </c>
      <c r="J464" t="s">
        <v>512</v>
      </c>
      <c r="K464" t="s">
        <v>512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0.8059029605233411</v>
      </c>
      <c r="R464" t="s">
        <v>779</v>
      </c>
      <c r="S464" t="s">
        <v>789</v>
      </c>
      <c r="T464">
        <v>179172.033607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HYPERLINK("https://www.suredividend.com/sure-analysis-HAS/","Hasbro, Inc.")</f>
        <v>0</v>
      </c>
      <c r="C465">
        <v>99.09</v>
      </c>
      <c r="D465">
        <v>102</v>
      </c>
      <c r="E465">
        <v>0.9714705882352942</v>
      </c>
      <c r="F465">
        <v>0.02744979311736805</v>
      </c>
      <c r="G465">
        <v>0.00580564485406998</v>
      </c>
      <c r="H465">
        <v>0.09</v>
      </c>
      <c r="I465">
        <v>0.1175343506658688</v>
      </c>
      <c r="J465" t="s">
        <v>512</v>
      </c>
      <c r="K465" t="s">
        <v>512</v>
      </c>
      <c r="L465">
        <v>4.85</v>
      </c>
      <c r="M465">
        <v>2.72</v>
      </c>
      <c r="N465">
        <v>0.5608247422680414</v>
      </c>
      <c r="O465">
        <v>0</v>
      </c>
      <c r="P465">
        <v>0.04991010133745877</v>
      </c>
      <c r="Q465">
        <v>0.151276838701659</v>
      </c>
      <c r="R465" t="s">
        <v>779</v>
      </c>
      <c r="S465" t="s">
        <v>790</v>
      </c>
      <c r="T465">
        <v>13546.386169</v>
      </c>
      <c r="U465" s="2">
        <v>44512</v>
      </c>
      <c r="V465" t="s">
        <v>798</v>
      </c>
    </row>
    <row r="466" spans="1:22">
      <c r="A466" s="1" t="s">
        <v>486</v>
      </c>
      <c r="B466">
        <f>HYPERLINK("https://www.suredividend.com/sure-analysis-HSBC/","HSBC Holdings plc")</f>
        <v>0</v>
      </c>
      <c r="C466">
        <v>29.28</v>
      </c>
      <c r="D466">
        <v>39</v>
      </c>
      <c r="E466">
        <v>0.7507692307692307</v>
      </c>
      <c r="F466">
        <v>0.03756830601092896</v>
      </c>
      <c r="G466">
        <v>0.05900669797171343</v>
      </c>
      <c r="H466">
        <v>0.03</v>
      </c>
      <c r="I466">
        <v>0.1161110308690876</v>
      </c>
      <c r="J466" t="s">
        <v>512</v>
      </c>
      <c r="K466" t="s">
        <v>370</v>
      </c>
      <c r="L466">
        <v>3.23</v>
      </c>
      <c r="M466">
        <v>1.1</v>
      </c>
      <c r="N466">
        <v>0.3405572755417957</v>
      </c>
      <c r="O466">
        <v>0</v>
      </c>
      <c r="P466">
        <v>0</v>
      </c>
      <c r="Q466">
        <v>0.226915998561546</v>
      </c>
      <c r="R466" t="s">
        <v>779</v>
      </c>
      <c r="S466" t="s">
        <v>789</v>
      </c>
      <c r="T466">
        <v>118303.100946</v>
      </c>
      <c r="U466" s="2">
        <v>44495</v>
      </c>
      <c r="V466" t="s">
        <v>796</v>
      </c>
    </row>
    <row r="467" spans="1:22">
      <c r="A467" s="1" t="s">
        <v>487</v>
      </c>
      <c r="B467">
        <f>HYPERLINK("https://www.suredividend.com/sure-analysis-TGP/","Teekay LNG Partners LP")</f>
        <v>0</v>
      </c>
      <c r="C467">
        <v>16.87</v>
      </c>
      <c r="D467">
        <v>18.5</v>
      </c>
      <c r="E467">
        <v>0.9118918918918919</v>
      </c>
      <c r="F467">
        <v>0.06816834617664493</v>
      </c>
      <c r="G467">
        <v>0.01861795974368929</v>
      </c>
      <c r="H467">
        <v>0.04</v>
      </c>
      <c r="I467">
        <v>0.1143507123189536</v>
      </c>
      <c r="J467" t="s">
        <v>512</v>
      </c>
      <c r="K467" t="s">
        <v>776</v>
      </c>
      <c r="L467">
        <v>3.7</v>
      </c>
      <c r="M467">
        <v>1.15</v>
      </c>
      <c r="N467">
        <v>0.3108108108108107</v>
      </c>
      <c r="O467">
        <v>3</v>
      </c>
      <c r="P467">
        <v>0.04012620718096094</v>
      </c>
      <c r="Q467">
        <v>0.5433142857142851</v>
      </c>
      <c r="R467" t="s">
        <v>780</v>
      </c>
      <c r="S467" t="s">
        <v>792</v>
      </c>
      <c r="T467">
        <v>1467.73683</v>
      </c>
      <c r="U467" s="2">
        <v>44515</v>
      </c>
      <c r="V467" t="s">
        <v>794</v>
      </c>
    </row>
    <row r="468" spans="1:22">
      <c r="A468" s="1" t="s">
        <v>488</v>
      </c>
      <c r="B468">
        <f>HYPERLINK("https://www.suredividend.com/sure-analysis-VALE/","Vale S.A.")</f>
        <v>0</v>
      </c>
      <c r="C468">
        <v>12.33</v>
      </c>
      <c r="D468">
        <v>21</v>
      </c>
      <c r="E468">
        <v>0.5871428571428572</v>
      </c>
      <c r="F468">
        <v>0.1841038118410381</v>
      </c>
      <c r="G468">
        <v>0.1123750610855685</v>
      </c>
      <c r="H468">
        <v>-0.07000000000000001</v>
      </c>
      <c r="I468">
        <v>0.1135414401102299</v>
      </c>
      <c r="J468" t="s">
        <v>512</v>
      </c>
      <c r="K468" t="s">
        <v>776</v>
      </c>
      <c r="L468">
        <v>4.2</v>
      </c>
      <c r="M468">
        <v>2.27</v>
      </c>
      <c r="N468">
        <v>0.5404761904761904</v>
      </c>
      <c r="O468">
        <v>1</v>
      </c>
      <c r="P468">
        <v>-0.1803080202371039</v>
      </c>
      <c r="Q468">
        <v>0.253120319520719</v>
      </c>
      <c r="R468" t="s">
        <v>779</v>
      </c>
      <c r="S468" t="s">
        <v>787</v>
      </c>
      <c r="T468">
        <v>64412.352895</v>
      </c>
      <c r="U468" s="2">
        <v>44503</v>
      </c>
      <c r="V468" t="s">
        <v>797</v>
      </c>
    </row>
    <row r="469" spans="1:22">
      <c r="A469" s="1" t="s">
        <v>489</v>
      </c>
      <c r="B469">
        <f>HYPERLINK("https://www.suredividend.com/sure-analysis-KRC/","Kilroy Realty Corp.")</f>
        <v>0</v>
      </c>
      <c r="C469">
        <v>72.47</v>
      </c>
      <c r="D469">
        <v>75</v>
      </c>
      <c r="E469">
        <v>0.9662666666666666</v>
      </c>
      <c r="F469">
        <v>0.02870153166827653</v>
      </c>
      <c r="G469">
        <v>0.006886691028340941</v>
      </c>
      <c r="H469">
        <v>0.07000000000000001</v>
      </c>
      <c r="I469">
        <v>0.1134765973895231</v>
      </c>
      <c r="J469" t="s">
        <v>512</v>
      </c>
      <c r="K469" t="s">
        <v>512</v>
      </c>
      <c r="L469">
        <v>3.77</v>
      </c>
      <c r="M469">
        <v>2.08</v>
      </c>
      <c r="N469">
        <v>0.5517241379310345</v>
      </c>
      <c r="O469">
        <v>6</v>
      </c>
      <c r="P469">
        <v>0.2052536834036616</v>
      </c>
      <c r="Q469">
        <v>0.214837570392974</v>
      </c>
      <c r="R469" t="s">
        <v>781</v>
      </c>
      <c r="S469" t="s">
        <v>793</v>
      </c>
      <c r="T469">
        <v>8308.376464999999</v>
      </c>
      <c r="U469" s="2">
        <v>44498</v>
      </c>
      <c r="V469" t="s">
        <v>796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13.97</v>
      </c>
      <c r="D470">
        <v>16.3</v>
      </c>
      <c r="E470">
        <v>0.8570552147239264</v>
      </c>
      <c r="F470">
        <v>0.04294917680744452</v>
      </c>
      <c r="G470">
        <v>0.03133139796183526</v>
      </c>
      <c r="H470">
        <v>0.042</v>
      </c>
      <c r="I470">
        <v>0.1131328944055869</v>
      </c>
      <c r="J470" t="s">
        <v>512</v>
      </c>
      <c r="K470" t="s">
        <v>370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0.475970150894044</v>
      </c>
      <c r="R470" t="s">
        <v>781</v>
      </c>
      <c r="S470" t="s">
        <v>793</v>
      </c>
      <c r="T470">
        <v>3170.433114</v>
      </c>
      <c r="U470" s="2">
        <v>44509</v>
      </c>
      <c r="V470" t="s">
        <v>804</v>
      </c>
    </row>
    <row r="471" spans="1:22">
      <c r="A471" s="1" t="s">
        <v>491</v>
      </c>
      <c r="B471">
        <f>HYPERLINK("https://www.suredividend.com/sure-analysis-AZN/","Astrazeneca plc")</f>
        <v>0</v>
      </c>
      <c r="C471">
        <v>59.78</v>
      </c>
      <c r="D471">
        <v>78</v>
      </c>
      <c r="E471">
        <v>0.7664102564102564</v>
      </c>
      <c r="F471">
        <v>0.0234192037470726</v>
      </c>
      <c r="G471">
        <v>0.05464849779517333</v>
      </c>
      <c r="H471">
        <v>0.04</v>
      </c>
      <c r="I471">
        <v>0.1125582013104038</v>
      </c>
      <c r="J471" t="s">
        <v>512</v>
      </c>
      <c r="K471" t="s">
        <v>512</v>
      </c>
      <c r="L471">
        <v>5.19</v>
      </c>
      <c r="M471">
        <v>1.4</v>
      </c>
      <c r="N471">
        <v>0.2697495183044316</v>
      </c>
      <c r="O471">
        <v>0</v>
      </c>
      <c r="P471">
        <v>0</v>
      </c>
      <c r="Q471">
        <v>0.052923743609487</v>
      </c>
      <c r="R471" t="s">
        <v>779</v>
      </c>
      <c r="S471" t="s">
        <v>784</v>
      </c>
      <c r="T471">
        <v>182176.05677</v>
      </c>
      <c r="U471" s="2">
        <v>44409</v>
      </c>
      <c r="V471" t="s">
        <v>795</v>
      </c>
    </row>
    <row r="472" spans="1:22">
      <c r="A472" s="1" t="s">
        <v>492</v>
      </c>
      <c r="B472">
        <f>HYPERLINK("https://www.suredividend.com/sure-analysis-ET/","Energy Transfer LP")</f>
        <v>0</v>
      </c>
      <c r="C472">
        <v>9.289999999999999</v>
      </c>
      <c r="D472">
        <v>11.1</v>
      </c>
      <c r="E472">
        <v>0.8369369369369369</v>
      </c>
      <c r="F472">
        <v>0.06566200215285253</v>
      </c>
      <c r="G472">
        <v>0.03624262568900871</v>
      </c>
      <c r="H472">
        <v>0.02</v>
      </c>
      <c r="I472">
        <v>0.1120403988422978</v>
      </c>
      <c r="J472" t="s">
        <v>512</v>
      </c>
      <c r="K472" t="s">
        <v>776</v>
      </c>
      <c r="L472">
        <v>2.1</v>
      </c>
      <c r="M472">
        <v>0.61</v>
      </c>
      <c r="N472">
        <v>0.2904761904761904</v>
      </c>
      <c r="O472">
        <v>0</v>
      </c>
      <c r="P472">
        <v>0.05039574430966676</v>
      </c>
      <c r="Q472">
        <v>0.8285966071821991</v>
      </c>
      <c r="R472" t="s">
        <v>780</v>
      </c>
      <c r="S472" t="s">
        <v>792</v>
      </c>
      <c r="T472">
        <v>24695.462114</v>
      </c>
      <c r="U472" s="2">
        <v>44509</v>
      </c>
      <c r="V472" t="s">
        <v>802</v>
      </c>
    </row>
    <row r="473" spans="1:22">
      <c r="A473" s="1" t="s">
        <v>493</v>
      </c>
      <c r="B473">
        <f>HYPERLINK("https://www.suredividend.com/sure-analysis-NYCB/","New York Community Bancorp Inc.")</f>
        <v>0</v>
      </c>
      <c r="C473">
        <v>12.51</v>
      </c>
      <c r="D473">
        <v>14</v>
      </c>
      <c r="E473">
        <v>0.8935714285714286</v>
      </c>
      <c r="F473">
        <v>0.05435651478816947</v>
      </c>
      <c r="G473">
        <v>0.02276096721151677</v>
      </c>
      <c r="H473">
        <v>0.05</v>
      </c>
      <c r="I473">
        <v>0.1119714350970458</v>
      </c>
      <c r="J473" t="s">
        <v>512</v>
      </c>
      <c r="K473" t="s">
        <v>370</v>
      </c>
      <c r="L473">
        <v>1.25</v>
      </c>
      <c r="M473">
        <v>0.68</v>
      </c>
      <c r="N473">
        <v>0.544</v>
      </c>
      <c r="O473">
        <v>0</v>
      </c>
      <c r="P473">
        <v>0</v>
      </c>
      <c r="Q473">
        <v>0.519597056162742</v>
      </c>
      <c r="R473" t="s">
        <v>779</v>
      </c>
      <c r="S473" t="s">
        <v>789</v>
      </c>
      <c r="T473">
        <v>5780.208532</v>
      </c>
      <c r="U473" s="2">
        <v>44512</v>
      </c>
      <c r="V473" t="s">
        <v>798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77.98999999999999</v>
      </c>
      <c r="D474">
        <v>84</v>
      </c>
      <c r="E474">
        <v>0.9284523809523809</v>
      </c>
      <c r="F474">
        <v>0.04718553660725735</v>
      </c>
      <c r="G474">
        <v>0.01495800484431631</v>
      </c>
      <c r="H474">
        <v>0.06</v>
      </c>
      <c r="I474">
        <v>0.1110708048633604</v>
      </c>
      <c r="J474" t="s">
        <v>512</v>
      </c>
      <c r="K474" t="s">
        <v>776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0.385981672910471</v>
      </c>
      <c r="R474" t="s">
        <v>779</v>
      </c>
      <c r="S474" t="s">
        <v>792</v>
      </c>
      <c r="T474">
        <v>33939.628149</v>
      </c>
      <c r="U474" s="2">
        <v>44501</v>
      </c>
      <c r="V474" t="s">
        <v>802</v>
      </c>
    </row>
    <row r="475" spans="1:22">
      <c r="A475" s="1" t="s">
        <v>495</v>
      </c>
      <c r="B475">
        <f>HYPERLINK("https://www.suredividend.com/sure-analysis-SLG/","SL Green Realty Corp.")</f>
        <v>0</v>
      </c>
      <c r="C475">
        <v>77.5</v>
      </c>
      <c r="D475">
        <v>86</v>
      </c>
      <c r="E475">
        <v>0.9011627906976745</v>
      </c>
      <c r="F475">
        <v>0.04696774193548387</v>
      </c>
      <c r="G475">
        <v>0.02103199128622091</v>
      </c>
      <c r="H475">
        <v>0.05</v>
      </c>
      <c r="I475">
        <v>0.1093031631942043</v>
      </c>
      <c r="J475" t="s">
        <v>512</v>
      </c>
      <c r="K475" t="s">
        <v>370</v>
      </c>
      <c r="L475">
        <v>6.6</v>
      </c>
      <c r="M475">
        <v>3.64</v>
      </c>
      <c r="N475">
        <v>0.5515151515151515</v>
      </c>
      <c r="O475">
        <v>10</v>
      </c>
      <c r="P475">
        <v>0.0386524708023015</v>
      </c>
      <c r="Q475">
        <v>0.446107408829466</v>
      </c>
      <c r="R475" t="s">
        <v>781</v>
      </c>
      <c r="S475" t="s">
        <v>793</v>
      </c>
      <c r="T475">
        <v>5076.56551</v>
      </c>
      <c r="U475" s="2">
        <v>44494</v>
      </c>
      <c r="V475" t="s">
        <v>802</v>
      </c>
    </row>
    <row r="476" spans="1:22">
      <c r="A476" s="1" t="s">
        <v>496</v>
      </c>
      <c r="B476">
        <f>HYPERLINK("https://www.suredividend.com/sure-analysis-PHG/","Koninklijke Philips N.V.")</f>
        <v>0</v>
      </c>
      <c r="C476">
        <v>42.16</v>
      </c>
      <c r="D476">
        <v>40</v>
      </c>
      <c r="E476">
        <v>1.054</v>
      </c>
      <c r="F476">
        <v>0.02443074003795067</v>
      </c>
      <c r="G476">
        <v>-0.01046336415723514</v>
      </c>
      <c r="H476">
        <v>0.1</v>
      </c>
      <c r="I476">
        <v>0.1078455548376061</v>
      </c>
      <c r="J476" t="s">
        <v>512</v>
      </c>
      <c r="K476" t="s">
        <v>512</v>
      </c>
      <c r="L476">
        <v>2.2</v>
      </c>
      <c r="M476">
        <v>1.03</v>
      </c>
      <c r="N476">
        <v>0.4681818181818181</v>
      </c>
      <c r="O476">
        <v>1</v>
      </c>
      <c r="P476">
        <v>0.04766208135176786</v>
      </c>
      <c r="Q476">
        <v>-0.09288153932021301</v>
      </c>
      <c r="R476" t="s">
        <v>779</v>
      </c>
      <c r="S476" t="s">
        <v>784</v>
      </c>
      <c r="T476">
        <v>43686.538904</v>
      </c>
      <c r="U476" s="2">
        <v>44491</v>
      </c>
      <c r="V476" t="s">
        <v>802</v>
      </c>
    </row>
    <row r="477" spans="1:22">
      <c r="A477" s="1" t="s">
        <v>497</v>
      </c>
      <c r="B477">
        <f>HYPERLINK("https://www.suredividend.com/sure-analysis-WEN/","Wendy`s Co")</f>
        <v>0</v>
      </c>
      <c r="C477">
        <v>21.94</v>
      </c>
      <c r="D477">
        <v>24</v>
      </c>
      <c r="E477">
        <v>0.9141666666666667</v>
      </c>
      <c r="F477">
        <v>0.02187784867821331</v>
      </c>
      <c r="G477">
        <v>0.01811051699592103</v>
      </c>
      <c r="H477">
        <v>0.07000000000000001</v>
      </c>
      <c r="I477">
        <v>0.1078041804870133</v>
      </c>
      <c r="J477" t="s">
        <v>512</v>
      </c>
      <c r="K477" t="s">
        <v>777</v>
      </c>
      <c r="L477">
        <v>0.8</v>
      </c>
      <c r="M477">
        <v>0.48</v>
      </c>
      <c r="N477">
        <v>0.6</v>
      </c>
      <c r="O477">
        <v>1</v>
      </c>
      <c r="P477">
        <v>0.06897294358221773</v>
      </c>
      <c r="Q477">
        <v>-0.02474037189063</v>
      </c>
      <c r="R477" t="s">
        <v>779</v>
      </c>
      <c r="S477" t="s">
        <v>790</v>
      </c>
      <c r="T477">
        <v>4796.592552</v>
      </c>
      <c r="U477" s="2">
        <v>44513</v>
      </c>
      <c r="V477" t="s">
        <v>801</v>
      </c>
    </row>
    <row r="478" spans="1:22">
      <c r="A478" s="1" t="s">
        <v>498</v>
      </c>
      <c r="B478">
        <f>HYPERLINK("https://www.suredividend.com/sure-analysis-DRI/","Darden Restaurants, Inc.")</f>
        <v>0</v>
      </c>
      <c r="C478">
        <v>147.68</v>
      </c>
      <c r="D478">
        <v>148</v>
      </c>
      <c r="E478">
        <v>0.9978378378378379</v>
      </c>
      <c r="F478">
        <v>0.02979414951245937</v>
      </c>
      <c r="G478">
        <v>0.0004329943169028017</v>
      </c>
      <c r="H478">
        <v>0.08</v>
      </c>
      <c r="I478">
        <v>0.1068623799997179</v>
      </c>
      <c r="J478" t="s">
        <v>512</v>
      </c>
      <c r="K478" t="s">
        <v>512</v>
      </c>
      <c r="L478">
        <v>7.42</v>
      </c>
      <c r="M478">
        <v>4.4</v>
      </c>
      <c r="N478">
        <v>0.5929919137466307</v>
      </c>
      <c r="O478">
        <v>1</v>
      </c>
      <c r="P478">
        <v>0.08016554685867416</v>
      </c>
      <c r="Q478">
        <v>0.419222842072849</v>
      </c>
      <c r="R478" t="s">
        <v>779</v>
      </c>
      <c r="S478" t="s">
        <v>790</v>
      </c>
      <c r="T478">
        <v>19500.196701</v>
      </c>
      <c r="U478" s="2">
        <v>44464</v>
      </c>
      <c r="V478" t="s">
        <v>796</v>
      </c>
    </row>
    <row r="479" spans="1:22">
      <c r="A479" s="1" t="s">
        <v>499</v>
      </c>
      <c r="B479">
        <f>HYPERLINK("https://www.suredividend.com/sure-analysis-TFC/","Truist Financial Corporation")</f>
        <v>0</v>
      </c>
      <c r="C479">
        <v>63.28</v>
      </c>
      <c r="D479">
        <v>70</v>
      </c>
      <c r="E479">
        <v>0.904</v>
      </c>
      <c r="F479">
        <v>0.03034134007585335</v>
      </c>
      <c r="G479">
        <v>0.02039028219796934</v>
      </c>
      <c r="H479">
        <v>0.06</v>
      </c>
      <c r="I479">
        <v>0.1061924815879995</v>
      </c>
      <c r="J479" t="s">
        <v>512</v>
      </c>
      <c r="K479" t="s">
        <v>370</v>
      </c>
      <c r="L479">
        <v>5.38</v>
      </c>
      <c r="M479">
        <v>1.92</v>
      </c>
      <c r="N479">
        <v>0.3568773234200743</v>
      </c>
      <c r="O479">
        <v>10</v>
      </c>
      <c r="P479">
        <v>0.04996052445273014</v>
      </c>
      <c r="Q479">
        <v>0.371358081935911</v>
      </c>
      <c r="R479" t="s">
        <v>779</v>
      </c>
      <c r="S479" t="s">
        <v>789</v>
      </c>
      <c r="T479">
        <v>83697.69868</v>
      </c>
      <c r="U479" s="2">
        <v>44493</v>
      </c>
      <c r="V479" t="s">
        <v>801</v>
      </c>
    </row>
    <row r="480" spans="1:22">
      <c r="A480" s="1" t="s">
        <v>500</v>
      </c>
      <c r="B480">
        <f>HYPERLINK("https://www.suredividend.com/sure-analysis-MFC/","Manulife Financial Corp.")</f>
        <v>0</v>
      </c>
      <c r="C480">
        <v>19.89</v>
      </c>
      <c r="D480">
        <v>19.95</v>
      </c>
      <c r="E480">
        <v>0.9969924812030075</v>
      </c>
      <c r="F480">
        <v>0.04524886877828054</v>
      </c>
      <c r="G480">
        <v>0.0006025915794001246</v>
      </c>
      <c r="H480">
        <v>0.065</v>
      </c>
      <c r="I480">
        <v>0.1056544845575238</v>
      </c>
      <c r="J480" t="s">
        <v>512</v>
      </c>
      <c r="K480" t="s">
        <v>776</v>
      </c>
      <c r="L480">
        <v>2.66</v>
      </c>
      <c r="M480">
        <v>0.9</v>
      </c>
      <c r="N480">
        <v>0.3383458646616541</v>
      </c>
      <c r="O480">
        <v>7</v>
      </c>
      <c r="P480">
        <v>0.06961037572506878</v>
      </c>
      <c r="Q480">
        <v>0.319371311621992</v>
      </c>
      <c r="R480" t="s">
        <v>779</v>
      </c>
      <c r="S480" t="s">
        <v>789</v>
      </c>
      <c r="T480">
        <v>38691.602598</v>
      </c>
      <c r="U480" s="2">
        <v>44511</v>
      </c>
      <c r="V480" t="s">
        <v>794</v>
      </c>
    </row>
    <row r="481" spans="1:22">
      <c r="A481" s="1" t="s">
        <v>501</v>
      </c>
      <c r="B481">
        <f>HYPERLINK("https://www.suredividend.com/sure-analysis-BAYRY/","Bayer AG")</f>
        <v>0</v>
      </c>
      <c r="C481">
        <v>14.355</v>
      </c>
      <c r="D481">
        <v>17</v>
      </c>
      <c r="E481">
        <v>0.8444117647058824</v>
      </c>
      <c r="F481">
        <v>0.04179728317659352</v>
      </c>
      <c r="G481">
        <v>0.03440150776439266</v>
      </c>
      <c r="H481">
        <v>0.035</v>
      </c>
      <c r="I481">
        <v>0.1042642982489657</v>
      </c>
      <c r="J481" t="s">
        <v>512</v>
      </c>
      <c r="K481" t="s">
        <v>370</v>
      </c>
      <c r="L481">
        <v>1.92</v>
      </c>
      <c r="M481">
        <v>0.6</v>
      </c>
      <c r="N481">
        <v>0.3125</v>
      </c>
      <c r="O481">
        <v>0</v>
      </c>
      <c r="P481">
        <v>0.04000235313991807</v>
      </c>
      <c r="Q481">
        <v>0.031073446327683</v>
      </c>
      <c r="R481" t="s">
        <v>779</v>
      </c>
      <c r="S481" t="s">
        <v>784</v>
      </c>
      <c r="T481">
        <v>57373.566389</v>
      </c>
      <c r="U481" s="2">
        <v>44434</v>
      </c>
      <c r="V481" t="s">
        <v>797</v>
      </c>
    </row>
    <row r="482" spans="1:22">
      <c r="A482" s="1" t="s">
        <v>502</v>
      </c>
      <c r="B482">
        <f>HYPERLINK("https://www.suredividend.com/sure-analysis-LUMN/","Lumen Technologies Inc")</f>
        <v>0</v>
      </c>
      <c r="C482">
        <v>14.12</v>
      </c>
      <c r="D482">
        <v>17</v>
      </c>
      <c r="E482">
        <v>0.8305882352941176</v>
      </c>
      <c r="F482">
        <v>0.07082152974504249</v>
      </c>
      <c r="G482">
        <v>0.03782193356058383</v>
      </c>
      <c r="H482">
        <v>0.013</v>
      </c>
      <c r="I482">
        <v>0.1037827551133212</v>
      </c>
      <c r="J482" t="s">
        <v>512</v>
      </c>
      <c r="K482" t="s">
        <v>776</v>
      </c>
      <c r="L482">
        <v>1.92</v>
      </c>
      <c r="M482">
        <v>1</v>
      </c>
      <c r="N482">
        <v>0.5208333333333334</v>
      </c>
      <c r="O482">
        <v>0</v>
      </c>
      <c r="P482">
        <v>0</v>
      </c>
      <c r="Q482">
        <v>0.528834989033673</v>
      </c>
      <c r="R482" t="s">
        <v>779</v>
      </c>
      <c r="S482" t="s">
        <v>783</v>
      </c>
      <c r="T482">
        <v>14559.775041</v>
      </c>
      <c r="U482" s="2">
        <v>44508</v>
      </c>
      <c r="V482" t="s">
        <v>801</v>
      </c>
    </row>
    <row r="483" spans="1:22">
      <c r="A483" s="1" t="s">
        <v>503</v>
      </c>
      <c r="B483">
        <f>HYPERLINK("https://www.suredividend.com/sure-analysis-BP/","BP plc")</f>
        <v>0</v>
      </c>
      <c r="C483">
        <v>27.55</v>
      </c>
      <c r="D483">
        <v>42</v>
      </c>
      <c r="E483">
        <v>0.655952380952381</v>
      </c>
      <c r="F483">
        <v>0.04754990925589837</v>
      </c>
      <c r="G483">
        <v>0.08799158772873561</v>
      </c>
      <c r="H483">
        <v>-0.02</v>
      </c>
      <c r="I483">
        <v>0.1037556983683825</v>
      </c>
      <c r="J483" t="s">
        <v>512</v>
      </c>
      <c r="K483" t="s">
        <v>776</v>
      </c>
      <c r="L483">
        <v>3.5</v>
      </c>
      <c r="M483">
        <v>1.31</v>
      </c>
      <c r="N483">
        <v>0.3742857142857143</v>
      </c>
      <c r="O483">
        <v>0</v>
      </c>
      <c r="P483">
        <v>0.03018318869451253</v>
      </c>
      <c r="Q483">
        <v>0.530455391529393</v>
      </c>
      <c r="R483" t="s">
        <v>779</v>
      </c>
      <c r="S483" t="s">
        <v>792</v>
      </c>
      <c r="T483">
        <v>90771.66448599999</v>
      </c>
      <c r="U483" s="2">
        <v>44512</v>
      </c>
      <c r="V483" t="s">
        <v>802</v>
      </c>
    </row>
    <row r="484" spans="1:22">
      <c r="A484" s="1" t="s">
        <v>504</v>
      </c>
      <c r="B484">
        <f>HYPERLINK("https://www.suredividend.com/sure-analysis-MGP/","MGM Growth Properties LLC")</f>
        <v>0</v>
      </c>
      <c r="C484">
        <v>39.68</v>
      </c>
      <c r="D484">
        <v>38</v>
      </c>
      <c r="E484">
        <v>1.044210526315789</v>
      </c>
      <c r="F484">
        <v>0.05141129032258065</v>
      </c>
      <c r="G484">
        <v>-0.008614901762573624</v>
      </c>
      <c r="H484">
        <v>0.07000000000000001</v>
      </c>
      <c r="I484">
        <v>0.1030046950786787</v>
      </c>
      <c r="J484" t="s">
        <v>512</v>
      </c>
      <c r="K484" t="s">
        <v>776</v>
      </c>
      <c r="L484">
        <v>2.54</v>
      </c>
      <c r="M484">
        <v>2.04</v>
      </c>
      <c r="N484">
        <v>0.8031496062992126</v>
      </c>
      <c r="O484">
        <v>46</v>
      </c>
      <c r="P484">
        <v>0.0398346919425614</v>
      </c>
      <c r="Q484">
        <v>0.36282905727399</v>
      </c>
      <c r="R484" t="s">
        <v>781</v>
      </c>
      <c r="S484" t="s">
        <v>793</v>
      </c>
      <c r="T484">
        <v>6070.607318</v>
      </c>
      <c r="U484" s="2">
        <v>44507</v>
      </c>
      <c r="V484" t="s">
        <v>796</v>
      </c>
    </row>
    <row r="485" spans="1:22">
      <c r="A485" s="1" t="s">
        <v>505</v>
      </c>
      <c r="B485">
        <f>HYPERLINK("https://www.suredividend.com/sure-analysis-SAFE/","Safehold Inc")</f>
        <v>0</v>
      </c>
      <c r="C485">
        <v>72.93000000000001</v>
      </c>
      <c r="D485">
        <v>65</v>
      </c>
      <c r="E485">
        <v>1.122</v>
      </c>
      <c r="F485">
        <v>0.009324009324009324</v>
      </c>
      <c r="G485">
        <v>-0.0227595644074482</v>
      </c>
      <c r="H485">
        <v>0.12</v>
      </c>
      <c r="I485">
        <v>0.1021141947204378</v>
      </c>
      <c r="J485" t="s">
        <v>512</v>
      </c>
      <c r="K485" t="s">
        <v>777</v>
      </c>
      <c r="L485">
        <v>1.48</v>
      </c>
      <c r="M485">
        <v>0.68</v>
      </c>
      <c r="N485">
        <v>0.4594594594594595</v>
      </c>
      <c r="O485">
        <v>3</v>
      </c>
      <c r="P485">
        <v>0.0576615571948691</v>
      </c>
      <c r="Q485">
        <v>0.1199108927268</v>
      </c>
      <c r="R485" t="s">
        <v>781</v>
      </c>
      <c r="S485" t="s">
        <v>793</v>
      </c>
      <c r="T485">
        <v>4174.11848</v>
      </c>
      <c r="U485" s="2">
        <v>44492</v>
      </c>
      <c r="V485" t="s">
        <v>804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35.72</v>
      </c>
      <c r="D486">
        <v>41</v>
      </c>
      <c r="E486">
        <v>0.8712195121951219</v>
      </c>
      <c r="F486">
        <v>0.03695408734602464</v>
      </c>
      <c r="G486">
        <v>0.02795589471537596</v>
      </c>
      <c r="H486">
        <v>0.04</v>
      </c>
      <c r="I486">
        <v>0.1000025217921956</v>
      </c>
      <c r="J486" t="s">
        <v>512</v>
      </c>
      <c r="K486" t="s">
        <v>370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0.350276192857629</v>
      </c>
      <c r="R486" t="s">
        <v>779</v>
      </c>
      <c r="S486" t="s">
        <v>789</v>
      </c>
      <c r="T486">
        <v>2253.534521</v>
      </c>
      <c r="U486" s="2">
        <v>44498</v>
      </c>
      <c r="V486" t="s">
        <v>801</v>
      </c>
    </row>
    <row r="487" spans="1:22">
      <c r="A487" s="1" t="s">
        <v>507</v>
      </c>
      <c r="B487">
        <f>HYPERLINK("https://www.suredividend.com/sure-analysis-TRST/","Trustco Bank Corp.")</f>
        <v>0</v>
      </c>
      <c r="C487">
        <v>33.97</v>
      </c>
      <c r="D487">
        <v>39</v>
      </c>
      <c r="E487">
        <v>0.871025641025641</v>
      </c>
      <c r="F487">
        <v>0.04003532528701796</v>
      </c>
      <c r="G487">
        <v>0.02800165072101968</v>
      </c>
      <c r="H487">
        <v>0.04</v>
      </c>
      <c r="I487">
        <v>0.09898893687711086</v>
      </c>
      <c r="J487" t="s">
        <v>512</v>
      </c>
      <c r="K487" t="s">
        <v>370</v>
      </c>
      <c r="L487">
        <v>3.09</v>
      </c>
      <c r="M487">
        <v>1.36</v>
      </c>
      <c r="N487">
        <v>0.4401294498381877</v>
      </c>
      <c r="O487">
        <v>0</v>
      </c>
      <c r="P487">
        <v>0.0100884981090783</v>
      </c>
      <c r="Q487">
        <v>0.157802857657155</v>
      </c>
      <c r="R487" t="s">
        <v>779</v>
      </c>
      <c r="S487" t="s">
        <v>789</v>
      </c>
      <c r="T487">
        <v>655.158699</v>
      </c>
      <c r="U487" s="2">
        <v>44493</v>
      </c>
      <c r="V487" t="s">
        <v>801</v>
      </c>
    </row>
    <row r="488" spans="1:22">
      <c r="A488" s="1" t="s">
        <v>508</v>
      </c>
      <c r="B488">
        <f>HYPERLINK("https://www.suredividend.com/sure-analysis-MKTX/","MarketAxess Holdings Inc.")</f>
        <v>0</v>
      </c>
      <c r="C488">
        <v>389.27</v>
      </c>
      <c r="D488">
        <v>300</v>
      </c>
      <c r="E488">
        <v>1.297566666666667</v>
      </c>
      <c r="F488">
        <v>0.006781925141932335</v>
      </c>
      <c r="G488">
        <v>-0.05076429868188737</v>
      </c>
      <c r="H488">
        <v>0.15</v>
      </c>
      <c r="I488">
        <v>0.09892895774415145</v>
      </c>
      <c r="J488" t="s">
        <v>512</v>
      </c>
      <c r="K488" t="s">
        <v>777</v>
      </c>
      <c r="L488">
        <v>7.15</v>
      </c>
      <c r="M488">
        <v>2.64</v>
      </c>
      <c r="N488">
        <v>0.3692307692307693</v>
      </c>
      <c r="O488">
        <v>11</v>
      </c>
      <c r="P488">
        <v>0.1500007374307972</v>
      </c>
      <c r="Q488">
        <v>-0.252243346885084</v>
      </c>
      <c r="R488" t="s">
        <v>779</v>
      </c>
      <c r="S488" t="s">
        <v>789</v>
      </c>
      <c r="T488">
        <v>14785.45712</v>
      </c>
      <c r="U488" s="2">
        <v>44494</v>
      </c>
      <c r="V488" t="s">
        <v>801</v>
      </c>
    </row>
    <row r="489" spans="1:22">
      <c r="A489" s="1" t="s">
        <v>509</v>
      </c>
      <c r="B489">
        <f>HYPERLINK("https://www.suredividend.com/sure-analysis-IMBBY/","Imperial Brands Plc")</f>
        <v>0</v>
      </c>
      <c r="C489">
        <v>21.7525</v>
      </c>
      <c r="D489">
        <v>22</v>
      </c>
      <c r="E489">
        <v>0.98875</v>
      </c>
      <c r="F489">
        <v>0.08458797839328813</v>
      </c>
      <c r="G489">
        <v>0.002265313935308377</v>
      </c>
      <c r="H489">
        <v>0.03</v>
      </c>
      <c r="I489">
        <v>0.09792871995922403</v>
      </c>
      <c r="J489" t="s">
        <v>512</v>
      </c>
      <c r="K489" t="s">
        <v>776</v>
      </c>
      <c r="L489">
        <v>3.46</v>
      </c>
      <c r="M489">
        <v>1.84</v>
      </c>
      <c r="N489">
        <v>0.5317919075144509</v>
      </c>
      <c r="O489">
        <v>0</v>
      </c>
      <c r="P489">
        <v>0</v>
      </c>
      <c r="Q489">
        <v>0.257134088400724</v>
      </c>
      <c r="R489" t="s">
        <v>779</v>
      </c>
      <c r="S489" t="s">
        <v>788</v>
      </c>
      <c r="T489">
        <v>20158.492551</v>
      </c>
      <c r="U489" s="2">
        <v>44335</v>
      </c>
      <c r="V489" t="s">
        <v>795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59.92</v>
      </c>
      <c r="D490">
        <v>117</v>
      </c>
      <c r="E490">
        <v>0.5121367521367521</v>
      </c>
      <c r="F490">
        <v>0.04672897196261682</v>
      </c>
      <c r="G490">
        <v>0.1432015678818559</v>
      </c>
      <c r="H490">
        <v>-0.07000000000000001</v>
      </c>
      <c r="I490">
        <v>0.09746644982612707</v>
      </c>
      <c r="J490" t="s">
        <v>512</v>
      </c>
      <c r="K490" t="s">
        <v>776</v>
      </c>
      <c r="L490">
        <v>9</v>
      </c>
      <c r="M490">
        <v>2.8</v>
      </c>
      <c r="N490">
        <v>0.3111111111111111</v>
      </c>
      <c r="O490">
        <v>0</v>
      </c>
      <c r="P490">
        <v>0</v>
      </c>
      <c r="Q490">
        <v>0.193160484654398</v>
      </c>
      <c r="R490" t="s">
        <v>779</v>
      </c>
      <c r="S490" t="s">
        <v>787</v>
      </c>
      <c r="T490">
        <v>44421.241585</v>
      </c>
      <c r="U490" s="2">
        <v>44498</v>
      </c>
      <c r="V490" t="s">
        <v>798</v>
      </c>
    </row>
    <row r="491" spans="1:22">
      <c r="A491" s="1" t="s">
        <v>511</v>
      </c>
      <c r="B491">
        <f>HYPERLINK("https://www.suredividend.com/sure-analysis-TAP/","Molson Coors Beverage Company")</f>
        <v>0</v>
      </c>
      <c r="C491">
        <v>49.21</v>
      </c>
      <c r="D491">
        <v>58</v>
      </c>
      <c r="E491">
        <v>0.8484482758620689</v>
      </c>
      <c r="F491">
        <v>0.02763665921560659</v>
      </c>
      <c r="G491">
        <v>0.03341539184576026</v>
      </c>
      <c r="H491">
        <v>0.04</v>
      </c>
      <c r="I491">
        <v>0.09709851693474891</v>
      </c>
      <c r="J491" t="s">
        <v>512</v>
      </c>
      <c r="K491" t="s">
        <v>512</v>
      </c>
      <c r="L491">
        <v>4.15</v>
      </c>
      <c r="M491">
        <v>1.36</v>
      </c>
      <c r="N491">
        <v>0.327710843373494</v>
      </c>
      <c r="O491">
        <v>0</v>
      </c>
      <c r="P491">
        <v>0.03941506521508265</v>
      </c>
      <c r="Q491">
        <v>0.086217362134827</v>
      </c>
      <c r="R491" t="s">
        <v>779</v>
      </c>
      <c r="S491" t="s">
        <v>788</v>
      </c>
      <c r="T491">
        <v>9691.365328</v>
      </c>
      <c r="U491" s="2">
        <v>44500</v>
      </c>
      <c r="V491" t="s">
        <v>800</v>
      </c>
    </row>
    <row r="492" spans="1:22">
      <c r="A492" s="1" t="s">
        <v>512</v>
      </c>
      <c r="B492">
        <f>HYPERLINK("https://www.suredividend.com/sure-analysis-D/","Dominion Energy Inc")</f>
        <v>0</v>
      </c>
      <c r="C492">
        <v>75.88</v>
      </c>
      <c r="D492">
        <v>77</v>
      </c>
      <c r="E492">
        <v>0.9854545454545454</v>
      </c>
      <c r="F492">
        <v>0.03321033210332103</v>
      </c>
      <c r="G492">
        <v>0.002934753338997176</v>
      </c>
      <c r="H492">
        <v>0.065</v>
      </c>
      <c r="I492">
        <v>0.09699976358555706</v>
      </c>
      <c r="J492" t="s">
        <v>512</v>
      </c>
      <c r="K492" t="s">
        <v>512</v>
      </c>
      <c r="L492">
        <v>3.85</v>
      </c>
      <c r="M492">
        <v>2.52</v>
      </c>
      <c r="N492">
        <v>0.6545454545454545</v>
      </c>
      <c r="O492">
        <v>16</v>
      </c>
      <c r="P492">
        <v>0.05985358218414349</v>
      </c>
      <c r="Q492">
        <v>-0.090216356629345</v>
      </c>
      <c r="R492" t="s">
        <v>779</v>
      </c>
      <c r="S492" t="s">
        <v>791</v>
      </c>
      <c r="T492">
        <v>60426.342596</v>
      </c>
      <c r="U492" s="2">
        <v>44425</v>
      </c>
      <c r="V492" t="s">
        <v>803</v>
      </c>
    </row>
    <row r="493" spans="1:22">
      <c r="A493" s="1" t="s">
        <v>513</v>
      </c>
      <c r="B493">
        <f>HYPERLINK("https://www.suredividend.com/sure-analysis-RIO/","Rio Tinto plc")</f>
        <v>0</v>
      </c>
      <c r="C493">
        <v>61.62</v>
      </c>
      <c r="D493">
        <v>73</v>
      </c>
      <c r="E493">
        <v>0.8441095890410959</v>
      </c>
      <c r="F493">
        <v>0.09104186952288219</v>
      </c>
      <c r="G493">
        <v>0.03447555649433909</v>
      </c>
      <c r="H493">
        <v>0</v>
      </c>
      <c r="I493">
        <v>0.0952373221839331</v>
      </c>
      <c r="J493" t="s">
        <v>512</v>
      </c>
      <c r="K493" t="s">
        <v>776</v>
      </c>
      <c r="L493">
        <v>16.5</v>
      </c>
      <c r="M493">
        <v>5.61</v>
      </c>
      <c r="N493">
        <v>0.34</v>
      </c>
      <c r="O493">
        <v>5</v>
      </c>
      <c r="P493">
        <v>-0.05003988006497606</v>
      </c>
      <c r="Q493">
        <v>0.07953286046769301</v>
      </c>
      <c r="R493" t="s">
        <v>779</v>
      </c>
      <c r="S493" t="s">
        <v>787</v>
      </c>
      <c r="T493">
        <v>101620.432005</v>
      </c>
      <c r="U493" s="2">
        <v>44439</v>
      </c>
      <c r="V493" t="s">
        <v>802</v>
      </c>
    </row>
    <row r="494" spans="1:22">
      <c r="A494" s="1" t="s">
        <v>514</v>
      </c>
      <c r="B494">
        <f>HYPERLINK("https://www.suredividend.com/sure-analysis-OPI/","Office Properties Income Trust")</f>
        <v>0</v>
      </c>
      <c r="C494">
        <v>27.6</v>
      </c>
      <c r="D494">
        <v>28</v>
      </c>
      <c r="E494">
        <v>0.9857142857142858</v>
      </c>
      <c r="F494">
        <v>0.07971014492753624</v>
      </c>
      <c r="G494">
        <v>0.002881892180566226</v>
      </c>
      <c r="H494">
        <v>0.03</v>
      </c>
      <c r="I494">
        <v>0.0950538504531957</v>
      </c>
      <c r="J494" t="s">
        <v>512</v>
      </c>
      <c r="K494" t="s">
        <v>776</v>
      </c>
      <c r="L494">
        <v>4.7</v>
      </c>
      <c r="M494">
        <v>2.2</v>
      </c>
      <c r="N494">
        <v>0.4680851063829787</v>
      </c>
      <c r="O494">
        <v>0</v>
      </c>
      <c r="P494">
        <v>0</v>
      </c>
      <c r="Q494">
        <v>0.328752885145587</v>
      </c>
      <c r="R494" t="s">
        <v>781</v>
      </c>
      <c r="S494" t="s">
        <v>793</v>
      </c>
      <c r="T494">
        <v>1318.630858</v>
      </c>
      <c r="U494" s="2">
        <v>44510</v>
      </c>
      <c r="V494" t="s">
        <v>802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45.27</v>
      </c>
      <c r="D495">
        <v>56</v>
      </c>
      <c r="E495">
        <v>0.8083928571428572</v>
      </c>
      <c r="F495">
        <v>0.04241219350563286</v>
      </c>
      <c r="G495">
        <v>0.04345928167381352</v>
      </c>
      <c r="H495">
        <v>0.01</v>
      </c>
      <c r="I495">
        <v>0.09415524676701859</v>
      </c>
      <c r="J495" t="s">
        <v>512</v>
      </c>
      <c r="K495" t="s">
        <v>370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0.5755004020217971</v>
      </c>
      <c r="R495" t="s">
        <v>779</v>
      </c>
      <c r="S495" t="s">
        <v>792</v>
      </c>
      <c r="T495">
        <v>173001.402826</v>
      </c>
      <c r="U495" s="2">
        <v>44502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32.3</v>
      </c>
      <c r="D496">
        <v>35</v>
      </c>
      <c r="E496">
        <v>0.9228571428571428</v>
      </c>
      <c r="F496">
        <v>0.03869969040247678</v>
      </c>
      <c r="G496">
        <v>0.016185759148861</v>
      </c>
      <c r="H496">
        <v>0.04</v>
      </c>
      <c r="I496">
        <v>0.08966725648894869</v>
      </c>
      <c r="J496" t="s">
        <v>512</v>
      </c>
      <c r="K496" t="s">
        <v>370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-0.073832095092315</v>
      </c>
      <c r="R496" t="s">
        <v>779</v>
      </c>
      <c r="S496" t="s">
        <v>788</v>
      </c>
      <c r="T496">
        <v>15469.995437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HYPERLINK("https://www.suredividend.com/sure-analysis-GORO/","Gold Resource Corporation")</f>
        <v>0</v>
      </c>
      <c r="C497">
        <v>2.27</v>
      </c>
      <c r="D497">
        <v>1.35</v>
      </c>
      <c r="E497">
        <v>1.681481481481481</v>
      </c>
      <c r="F497">
        <v>0.01762114537444934</v>
      </c>
      <c r="G497">
        <v>-0.09871616411969775</v>
      </c>
      <c r="H497">
        <v>0.19</v>
      </c>
      <c r="I497">
        <v>0.08910388658713786</v>
      </c>
      <c r="J497" t="s">
        <v>512</v>
      </c>
      <c r="K497" t="s">
        <v>777</v>
      </c>
      <c r="L497">
        <v>0.09</v>
      </c>
      <c r="M497">
        <v>0.04</v>
      </c>
      <c r="N497">
        <v>0.4444444444444445</v>
      </c>
      <c r="O497">
        <v>0</v>
      </c>
      <c r="P497">
        <v>0.08447177119769855</v>
      </c>
      <c r="Q497">
        <v>-0.245560154893844</v>
      </c>
      <c r="R497" t="s">
        <v>779</v>
      </c>
      <c r="S497" t="s">
        <v>787</v>
      </c>
      <c r="T497">
        <v>168.554595</v>
      </c>
      <c r="U497" s="2">
        <v>44512</v>
      </c>
      <c r="V497" t="s">
        <v>802</v>
      </c>
    </row>
    <row r="498" spans="1:22">
      <c r="A498" s="1" t="s">
        <v>518</v>
      </c>
      <c r="B498">
        <f>HYPERLINK("https://www.suredividend.com/sure-analysis-FRFHF/","Fairfax Financial Holdings Ltd.")</f>
        <v>0</v>
      </c>
      <c r="C498">
        <v>424.26</v>
      </c>
      <c r="D498">
        <v>565</v>
      </c>
      <c r="E498">
        <v>0.7509026548672566</v>
      </c>
      <c r="F498">
        <v>0.02357045208127092</v>
      </c>
      <c r="G498">
        <v>0.05896906138695091</v>
      </c>
      <c r="H498">
        <v>0.01</v>
      </c>
      <c r="I498">
        <v>0.08699254797873657</v>
      </c>
      <c r="J498" t="s">
        <v>512</v>
      </c>
      <c r="K498" t="s">
        <v>512</v>
      </c>
      <c r="L498">
        <v>32</v>
      </c>
      <c r="M498">
        <v>10</v>
      </c>
      <c r="N498">
        <v>0.3125</v>
      </c>
      <c r="O498">
        <v>0</v>
      </c>
      <c r="P498">
        <v>0</v>
      </c>
      <c r="Q498">
        <v>0.357113491120156</v>
      </c>
      <c r="R498" t="s">
        <v>779</v>
      </c>
      <c r="S498" t="s">
        <v>789</v>
      </c>
      <c r="T498">
        <v>11650.199451</v>
      </c>
      <c r="U498" s="2">
        <v>44515</v>
      </c>
      <c r="V498" t="s">
        <v>802</v>
      </c>
    </row>
    <row r="499" spans="1:22">
      <c r="A499" s="1" t="s">
        <v>519</v>
      </c>
      <c r="B499">
        <f>HYPERLINK("https://www.suredividend.com/sure-analysis-PGRE/","Paramount Group Inc")</f>
        <v>0</v>
      </c>
      <c r="C499">
        <v>9.44</v>
      </c>
      <c r="D499">
        <v>11</v>
      </c>
      <c r="E499">
        <v>0.8581818181818182</v>
      </c>
      <c r="F499">
        <v>0.02966101694915255</v>
      </c>
      <c r="G499">
        <v>0.0310604735251383</v>
      </c>
      <c r="H499">
        <v>0.03</v>
      </c>
      <c r="I499">
        <v>0.08480662407975958</v>
      </c>
      <c r="J499" t="s">
        <v>512</v>
      </c>
      <c r="K499" t="s">
        <v>512</v>
      </c>
      <c r="L499">
        <v>0.91</v>
      </c>
      <c r="M499">
        <v>0.28</v>
      </c>
      <c r="N499">
        <v>0.3076923076923077</v>
      </c>
      <c r="O499">
        <v>0</v>
      </c>
      <c r="P499">
        <v>0.007042949693310208</v>
      </c>
      <c r="Q499">
        <v>0.24215412205285</v>
      </c>
      <c r="R499" t="s">
        <v>781</v>
      </c>
      <c r="S499" t="s">
        <v>793</v>
      </c>
      <c r="T499">
        <v>2062.569345</v>
      </c>
      <c r="U499" s="2">
        <v>44498</v>
      </c>
      <c r="V499" t="s">
        <v>801</v>
      </c>
    </row>
    <row r="500" spans="1:22">
      <c r="A500" s="1" t="s">
        <v>520</v>
      </c>
      <c r="B500">
        <f>HYPERLINK("https://www.suredividend.com/sure-analysis-WASH/","Washington Trust Bancorp, Inc.")</f>
        <v>0</v>
      </c>
      <c r="C500">
        <v>58.13</v>
      </c>
      <c r="D500">
        <v>58</v>
      </c>
      <c r="E500">
        <v>1.002241379310345</v>
      </c>
      <c r="F500">
        <v>0.03578186822638912</v>
      </c>
      <c r="G500">
        <v>-0.0004476739974474953</v>
      </c>
      <c r="H500">
        <v>0.05</v>
      </c>
      <c r="I500">
        <v>0.08168185982793141</v>
      </c>
      <c r="J500" t="s">
        <v>512</v>
      </c>
      <c r="K500" t="s">
        <v>370</v>
      </c>
      <c r="L500">
        <v>4.14</v>
      </c>
      <c r="M500">
        <v>2.08</v>
      </c>
      <c r="N500">
        <v>0.5024154589371981</v>
      </c>
      <c r="O500">
        <v>10</v>
      </c>
      <c r="P500">
        <v>0.04963065931551602</v>
      </c>
      <c r="Q500">
        <v>0.6010808891256331</v>
      </c>
      <c r="R500" t="s">
        <v>779</v>
      </c>
      <c r="S500" t="s">
        <v>789</v>
      </c>
      <c r="T500">
        <v>1002.045103</v>
      </c>
      <c r="U500" s="2">
        <v>44495</v>
      </c>
      <c r="V500" t="s">
        <v>795</v>
      </c>
    </row>
    <row r="501" spans="1:22">
      <c r="A501" s="1" t="s">
        <v>521</v>
      </c>
      <c r="B501">
        <f>HYPERLINK("https://www.suredividend.com/sure-analysis-RF/","Regions Financial Corp.")</f>
        <v>0</v>
      </c>
      <c r="C501">
        <v>24.24</v>
      </c>
      <c r="D501">
        <v>26</v>
      </c>
      <c r="E501">
        <v>0.9323076923076923</v>
      </c>
      <c r="F501">
        <v>0.02805280528052806</v>
      </c>
      <c r="G501">
        <v>0.01411719494980446</v>
      </c>
      <c r="H501">
        <v>0.04</v>
      </c>
      <c r="I501">
        <v>0.07980438287406821</v>
      </c>
      <c r="J501" t="s">
        <v>512</v>
      </c>
      <c r="K501" t="s">
        <v>512</v>
      </c>
      <c r="L501">
        <v>2.4</v>
      </c>
      <c r="M501">
        <v>0.68</v>
      </c>
      <c r="N501">
        <v>0.2833333333333334</v>
      </c>
      <c r="O501">
        <v>0</v>
      </c>
      <c r="P501">
        <v>0.0505145404837426</v>
      </c>
      <c r="Q501">
        <v>0.660001247600102</v>
      </c>
      <c r="R501" t="s">
        <v>779</v>
      </c>
      <c r="S501" t="s">
        <v>789</v>
      </c>
      <c r="T501">
        <v>22831.118821</v>
      </c>
      <c r="U501" s="2">
        <v>44491</v>
      </c>
      <c r="V501" t="s">
        <v>797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16.86</v>
      </c>
      <c r="D502">
        <v>20.3</v>
      </c>
      <c r="E502">
        <v>0.8305418719211822</v>
      </c>
      <c r="F502">
        <v>0.06405693950177936</v>
      </c>
      <c r="G502">
        <v>0.03783352017712804</v>
      </c>
      <c r="H502">
        <v>-0.012</v>
      </c>
      <c r="I502">
        <v>0.07953096666054082</v>
      </c>
      <c r="J502" t="s">
        <v>512</v>
      </c>
      <c r="K502" t="s">
        <v>776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0.355039968804835</v>
      </c>
      <c r="R502" t="s">
        <v>779</v>
      </c>
      <c r="S502" t="s">
        <v>792</v>
      </c>
      <c r="T502">
        <v>37805.566894</v>
      </c>
      <c r="U502" s="2">
        <v>44491</v>
      </c>
      <c r="V502" t="s">
        <v>804</v>
      </c>
    </row>
    <row r="503" spans="1:22">
      <c r="A503" s="1" t="s">
        <v>523</v>
      </c>
      <c r="B503">
        <f>HYPERLINK("https://www.suredividend.com/sure-analysis-DD/","DuPont de Nemours Inc")</f>
        <v>0</v>
      </c>
      <c r="C503">
        <v>78.77</v>
      </c>
      <c r="D503">
        <v>77</v>
      </c>
      <c r="E503">
        <v>1.022987012987013</v>
      </c>
      <c r="F503">
        <v>0.01523422622825949</v>
      </c>
      <c r="G503">
        <v>-0.004535043864572486</v>
      </c>
      <c r="H503">
        <v>0.07000000000000001</v>
      </c>
      <c r="I503">
        <v>0.07895170135126994</v>
      </c>
      <c r="J503" t="s">
        <v>512</v>
      </c>
      <c r="K503" t="s">
        <v>777</v>
      </c>
      <c r="L503">
        <v>4.25</v>
      </c>
      <c r="M503">
        <v>1.2</v>
      </c>
      <c r="N503">
        <v>0.2823529411764706</v>
      </c>
      <c r="O503">
        <v>0</v>
      </c>
      <c r="P503">
        <v>0.06054457313435013</v>
      </c>
      <c r="Q503">
        <v>0.325505973151607</v>
      </c>
      <c r="R503" t="s">
        <v>779</v>
      </c>
      <c r="S503" t="s">
        <v>787</v>
      </c>
      <c r="T503">
        <v>42221.136178</v>
      </c>
      <c r="U503" s="2">
        <v>44427</v>
      </c>
      <c r="V503" t="s">
        <v>798</v>
      </c>
    </row>
    <row r="504" spans="1:22">
      <c r="A504" s="1" t="s">
        <v>524</v>
      </c>
      <c r="B504">
        <f>HYPERLINK("https://www.suredividend.com/sure-analysis-NTR/","Nutrien Ltd")</f>
        <v>0</v>
      </c>
      <c r="C504">
        <v>68.92</v>
      </c>
      <c r="D504">
        <v>82</v>
      </c>
      <c r="E504">
        <v>0.8404878048780487</v>
      </c>
      <c r="F504">
        <v>0.02669762042948346</v>
      </c>
      <c r="G504">
        <v>0.0353655648617599</v>
      </c>
      <c r="H504">
        <v>0.02</v>
      </c>
      <c r="I504">
        <v>0.07792531685306092</v>
      </c>
      <c r="J504" t="s">
        <v>512</v>
      </c>
      <c r="K504" t="s">
        <v>512</v>
      </c>
      <c r="L504">
        <v>4.85</v>
      </c>
      <c r="M504">
        <v>1.84</v>
      </c>
      <c r="N504">
        <v>0.3793814432989691</v>
      </c>
      <c r="O504">
        <v>3</v>
      </c>
      <c r="P504">
        <v>0.01984845658885503</v>
      </c>
      <c r="Q504">
        <v>0.6813693154407351</v>
      </c>
      <c r="R504" t="s">
        <v>779</v>
      </c>
      <c r="S504" t="s">
        <v>787</v>
      </c>
      <c r="T504">
        <v>39011.231948</v>
      </c>
      <c r="U504" s="2">
        <v>44445</v>
      </c>
      <c r="V504" t="s">
        <v>796</v>
      </c>
    </row>
    <row r="505" spans="1:22">
      <c r="A505" s="1" t="s">
        <v>525</v>
      </c>
      <c r="B505">
        <f>HYPERLINK("https://www.suredividend.com/sure-analysis-NGG/","National Grid Plc")</f>
        <v>0</v>
      </c>
      <c r="C505">
        <v>65.92</v>
      </c>
      <c r="D505">
        <v>62</v>
      </c>
      <c r="E505">
        <v>1.063225806451613</v>
      </c>
      <c r="F505">
        <v>0.05445995145631068</v>
      </c>
      <c r="G505">
        <v>-0.01218663422051347</v>
      </c>
      <c r="H505">
        <v>0.04</v>
      </c>
      <c r="I505">
        <v>0.0773174776194312</v>
      </c>
      <c r="J505" t="s">
        <v>512</v>
      </c>
      <c r="K505" t="s">
        <v>776</v>
      </c>
      <c r="L505">
        <v>4.16</v>
      </c>
      <c r="M505">
        <v>3.59</v>
      </c>
      <c r="N505">
        <v>0.8629807692307692</v>
      </c>
      <c r="O505">
        <v>0</v>
      </c>
      <c r="P505">
        <v>0.0401055114467892</v>
      </c>
      <c r="Q505">
        <v>0.09611294401366501</v>
      </c>
      <c r="R505" t="s">
        <v>779</v>
      </c>
      <c r="S505" t="s">
        <v>791</v>
      </c>
      <c r="T505">
        <v>47347.614637</v>
      </c>
      <c r="U505" s="2">
        <v>44430</v>
      </c>
      <c r="V505" t="s">
        <v>799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28.61</v>
      </c>
      <c r="D506">
        <v>25</v>
      </c>
      <c r="E506">
        <v>1.1444</v>
      </c>
      <c r="F506">
        <v>0.05732261447046487</v>
      </c>
      <c r="G506">
        <v>-0.02661549139753938</v>
      </c>
      <c r="H506">
        <v>0.05</v>
      </c>
      <c r="I506">
        <v>0.07544522936627751</v>
      </c>
      <c r="J506" t="s">
        <v>512</v>
      </c>
      <c r="K506" t="s">
        <v>776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0.5271815927693491</v>
      </c>
      <c r="R506" t="s">
        <v>779</v>
      </c>
      <c r="S506" t="s">
        <v>792</v>
      </c>
      <c r="T506">
        <v>34798.453443</v>
      </c>
      <c r="U506" s="2">
        <v>44504</v>
      </c>
      <c r="V506" t="s">
        <v>802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12.39</v>
      </c>
      <c r="D507">
        <v>12</v>
      </c>
      <c r="E507">
        <v>1.0325</v>
      </c>
      <c r="F507">
        <v>0.03793381759483454</v>
      </c>
      <c r="G507">
        <v>-0.006376194417760717</v>
      </c>
      <c r="H507">
        <v>0.05</v>
      </c>
      <c r="I507">
        <v>0.07531299440543915</v>
      </c>
      <c r="J507" t="s">
        <v>512</v>
      </c>
      <c r="K507" t="s">
        <v>370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0.08215837274149701</v>
      </c>
      <c r="R507" t="s">
        <v>779</v>
      </c>
      <c r="S507" t="s">
        <v>787</v>
      </c>
      <c r="T507">
        <v>18980.630957</v>
      </c>
      <c r="U507" s="2">
        <v>44445</v>
      </c>
      <c r="V507" t="s">
        <v>796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166.29</v>
      </c>
      <c r="D508">
        <v>157</v>
      </c>
      <c r="E508">
        <v>1.059171974522293</v>
      </c>
      <c r="F508">
        <v>0.03968969871910518</v>
      </c>
      <c r="G508">
        <v>-0.01143164580636369</v>
      </c>
      <c r="H508">
        <v>0.05</v>
      </c>
      <c r="I508">
        <v>0.07493540998735937</v>
      </c>
      <c r="J508" t="s">
        <v>512</v>
      </c>
      <c r="K508" t="s">
        <v>370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1.316529591275904</v>
      </c>
      <c r="R508" t="s">
        <v>781</v>
      </c>
      <c r="S508" t="s">
        <v>793</v>
      </c>
      <c r="T508">
        <v>54155.119662</v>
      </c>
      <c r="U508" s="2">
        <v>44502</v>
      </c>
      <c r="V508" t="s">
        <v>794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40.89</v>
      </c>
      <c r="D509">
        <v>35</v>
      </c>
      <c r="E509">
        <v>1.168285714285714</v>
      </c>
      <c r="F509">
        <v>0.01662998288089998</v>
      </c>
      <c r="G509">
        <v>-0.03062863469004284</v>
      </c>
      <c r="H509">
        <v>0.09</v>
      </c>
      <c r="I509">
        <v>0.07321397928621765</v>
      </c>
      <c r="J509" t="s">
        <v>512</v>
      </c>
      <c r="K509" t="s">
        <v>777</v>
      </c>
      <c r="L509">
        <v>1.28</v>
      </c>
      <c r="M509">
        <v>0.68</v>
      </c>
      <c r="N509">
        <v>0.53125</v>
      </c>
      <c r="O509">
        <v>4</v>
      </c>
      <c r="P509">
        <v>0.08447177119769855</v>
      </c>
      <c r="Q509">
        <v>0.417071943652524</v>
      </c>
      <c r="R509" t="s">
        <v>781</v>
      </c>
      <c r="S509" t="s">
        <v>793</v>
      </c>
      <c r="T509">
        <v>24204.937417</v>
      </c>
      <c r="U509" s="2">
        <v>44500</v>
      </c>
      <c r="V509" t="s">
        <v>794</v>
      </c>
    </row>
    <row r="510" spans="1:22">
      <c r="A510" s="1" t="s">
        <v>530</v>
      </c>
      <c r="B510">
        <f>HYPERLINK("https://www.suredividend.com/sure-analysis-CNA/","CNA Financial Corp.")</f>
        <v>0</v>
      </c>
      <c r="C510">
        <v>45.11</v>
      </c>
      <c r="D510">
        <v>48</v>
      </c>
      <c r="E510">
        <v>0.9397916666666667</v>
      </c>
      <c r="F510">
        <v>0.03369541121702505</v>
      </c>
      <c r="G510">
        <v>0.01249685305258774</v>
      </c>
      <c r="H510">
        <v>0.03</v>
      </c>
      <c r="I510">
        <v>0.07229682619249456</v>
      </c>
      <c r="J510" t="s">
        <v>512</v>
      </c>
      <c r="K510" t="s">
        <v>370</v>
      </c>
      <c r="L510">
        <v>4</v>
      </c>
      <c r="M510">
        <v>1.52</v>
      </c>
      <c r="N510">
        <v>0.38</v>
      </c>
      <c r="O510">
        <v>5</v>
      </c>
      <c r="P510">
        <v>0.02975477857041309</v>
      </c>
      <c r="Q510">
        <v>0.3528883567794071</v>
      </c>
      <c r="R510" t="s">
        <v>779</v>
      </c>
      <c r="S510" t="s">
        <v>789</v>
      </c>
      <c r="T510">
        <v>12265.466712</v>
      </c>
      <c r="U510" s="2">
        <v>44509</v>
      </c>
      <c r="V510" t="s">
        <v>800</v>
      </c>
    </row>
    <row r="511" spans="1:22">
      <c r="A511" s="1" t="s">
        <v>531</v>
      </c>
      <c r="B511">
        <f>HYPERLINK("https://www.suredividend.com/sure-analysis-NWL/","Newell Brands Inc")</f>
        <v>0</v>
      </c>
      <c r="C511">
        <v>23.96</v>
      </c>
      <c r="D511">
        <v>23</v>
      </c>
      <c r="E511">
        <v>1.041739130434783</v>
      </c>
      <c r="F511">
        <v>0.03839732888146911</v>
      </c>
      <c r="G511">
        <v>-0.008144960055752382</v>
      </c>
      <c r="H511">
        <v>0.05</v>
      </c>
      <c r="I511">
        <v>0.07221540743439925</v>
      </c>
      <c r="J511" t="s">
        <v>512</v>
      </c>
      <c r="K511" t="s">
        <v>370</v>
      </c>
      <c r="L511">
        <v>1.75</v>
      </c>
      <c r="M511">
        <v>0.92</v>
      </c>
      <c r="N511">
        <v>0.5257142857142857</v>
      </c>
      <c r="O511">
        <v>0</v>
      </c>
      <c r="P511">
        <v>0</v>
      </c>
      <c r="Q511">
        <v>0.262864192646653</v>
      </c>
      <c r="R511" t="s">
        <v>779</v>
      </c>
      <c r="S511" t="s">
        <v>788</v>
      </c>
      <c r="T511">
        <v>10320.204</v>
      </c>
      <c r="U511" s="2">
        <v>44421</v>
      </c>
      <c r="V511" t="s">
        <v>798</v>
      </c>
    </row>
    <row r="512" spans="1:22">
      <c r="A512" s="1" t="s">
        <v>532</v>
      </c>
      <c r="B512">
        <f>HYPERLINK("https://www.suredividend.com/sure-analysis-FE/","Firstenergy Corp.")</f>
        <v>0</v>
      </c>
      <c r="C512">
        <v>39.45</v>
      </c>
      <c r="D512">
        <v>39</v>
      </c>
      <c r="E512">
        <v>1.011538461538462</v>
      </c>
      <c r="F512">
        <v>0.03954372623574144</v>
      </c>
      <c r="G512">
        <v>-0.002291849924793032</v>
      </c>
      <c r="H512">
        <v>0.04</v>
      </c>
      <c r="I512">
        <v>0.07060729481592998</v>
      </c>
      <c r="J512" t="s">
        <v>512</v>
      </c>
      <c r="K512" t="s">
        <v>370</v>
      </c>
      <c r="L512">
        <v>2.6</v>
      </c>
      <c r="M512">
        <v>1.56</v>
      </c>
      <c r="N512">
        <v>0.6</v>
      </c>
      <c r="O512">
        <v>0</v>
      </c>
      <c r="P512">
        <v>0.01005227214699711</v>
      </c>
      <c r="Q512">
        <v>0.379310344827586</v>
      </c>
      <c r="R512" t="s">
        <v>779</v>
      </c>
      <c r="S512" t="s">
        <v>791</v>
      </c>
      <c r="T512">
        <v>21232.365141</v>
      </c>
      <c r="U512" s="2">
        <v>44498</v>
      </c>
      <c r="V512" t="s">
        <v>794</v>
      </c>
    </row>
    <row r="513" spans="1:22">
      <c r="A513" s="1" t="s">
        <v>533</v>
      </c>
      <c r="B513">
        <f>HYPERLINK("https://www.suredividend.com/sure-analysis-PETS/","Petmed Express, Inc.")</f>
        <v>0</v>
      </c>
      <c r="C513">
        <v>29.51</v>
      </c>
      <c r="D513">
        <v>23</v>
      </c>
      <c r="E513">
        <v>1.28304347826087</v>
      </c>
      <c r="F513">
        <v>0.04066418163334463</v>
      </c>
      <c r="G513">
        <v>-0.04862502113056966</v>
      </c>
      <c r="H513">
        <v>0.08</v>
      </c>
      <c r="I513">
        <v>0.06999830043196931</v>
      </c>
      <c r="J513" t="s">
        <v>512</v>
      </c>
      <c r="K513" t="s">
        <v>370</v>
      </c>
      <c r="L513">
        <v>1.25</v>
      </c>
      <c r="M513">
        <v>1.2</v>
      </c>
      <c r="N513">
        <v>0.96</v>
      </c>
      <c r="O513">
        <v>13</v>
      </c>
      <c r="P513">
        <v>0.0796084730466029</v>
      </c>
      <c r="Q513">
        <v>0.029866117404737</v>
      </c>
      <c r="R513" t="s">
        <v>779</v>
      </c>
      <c r="S513" t="s">
        <v>784</v>
      </c>
      <c r="T513">
        <v>604.367646</v>
      </c>
      <c r="U513" s="2">
        <v>44499</v>
      </c>
      <c r="V513" t="s">
        <v>796</v>
      </c>
    </row>
    <row r="514" spans="1:22">
      <c r="A514" s="1" t="s">
        <v>534</v>
      </c>
      <c r="B514">
        <f>HYPERLINK("https://www.suredividend.com/sure-analysis-SBS/","Companhia de Saneamento Basico do Estado de Sao Paulo.")</f>
        <v>0</v>
      </c>
      <c r="C514">
        <v>6.66</v>
      </c>
      <c r="D514">
        <v>6.6</v>
      </c>
      <c r="E514">
        <v>1.009090909090909</v>
      </c>
      <c r="F514">
        <v>0.02402402402402402</v>
      </c>
      <c r="G514">
        <v>-0.001808330101314093</v>
      </c>
      <c r="H514">
        <v>0.05</v>
      </c>
      <c r="I514">
        <v>0.06997471941375188</v>
      </c>
      <c r="J514" t="s">
        <v>512</v>
      </c>
      <c r="K514" t="s">
        <v>512</v>
      </c>
      <c r="L514">
        <v>0.57</v>
      </c>
      <c r="M514">
        <v>0.16</v>
      </c>
      <c r="N514">
        <v>0.280701754385965</v>
      </c>
      <c r="O514">
        <v>0</v>
      </c>
      <c r="P514">
        <v>0.04563955259127317</v>
      </c>
      <c r="Q514">
        <v>-0.182925621471724</v>
      </c>
      <c r="R514" t="s">
        <v>779</v>
      </c>
      <c r="S514" t="s">
        <v>791</v>
      </c>
      <c r="T514">
        <v>4511.165135</v>
      </c>
      <c r="U514" s="2">
        <v>44513</v>
      </c>
      <c r="V514" t="s">
        <v>794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75.03</v>
      </c>
      <c r="D515">
        <v>75</v>
      </c>
      <c r="E515">
        <v>1.0004</v>
      </c>
      <c r="F515">
        <v>0.03332000533120085</v>
      </c>
      <c r="G515">
        <v>-7.998080563020871e-05</v>
      </c>
      <c r="H515">
        <v>0.04</v>
      </c>
      <c r="I515">
        <v>0.06978260598646857</v>
      </c>
      <c r="J515" t="s">
        <v>512</v>
      </c>
      <c r="K515" t="s">
        <v>512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0.699801215477413</v>
      </c>
      <c r="R515" t="s">
        <v>781</v>
      </c>
      <c r="S515" t="s">
        <v>793</v>
      </c>
      <c r="T515">
        <v>12781.050674</v>
      </c>
      <c r="U515" s="2">
        <v>44513</v>
      </c>
      <c r="V515" t="s">
        <v>794</v>
      </c>
    </row>
    <row r="516" spans="1:22">
      <c r="A516" s="1" t="s">
        <v>536</v>
      </c>
      <c r="B516">
        <f>HYPERLINK("https://www.suredividend.com/sure-analysis-IP/","International Paper Co.")</f>
        <v>0</v>
      </c>
      <c r="C516">
        <v>49.45</v>
      </c>
      <c r="D516">
        <v>46</v>
      </c>
      <c r="E516">
        <v>1.075</v>
      </c>
      <c r="F516">
        <v>0.03741152679474216</v>
      </c>
      <c r="G516">
        <v>-0.01436002927853708</v>
      </c>
      <c r="H516">
        <v>0.05</v>
      </c>
      <c r="I516">
        <v>0.06973331113418535</v>
      </c>
      <c r="J516" t="s">
        <v>512</v>
      </c>
      <c r="K516" t="s">
        <v>370</v>
      </c>
      <c r="L516">
        <v>4.6</v>
      </c>
      <c r="M516">
        <v>1.85</v>
      </c>
      <c r="N516">
        <v>0.4021739130434783</v>
      </c>
      <c r="O516">
        <v>0</v>
      </c>
      <c r="P516">
        <v>0.04450667934242181</v>
      </c>
      <c r="Q516">
        <v>0.124890718053719</v>
      </c>
      <c r="R516" t="s">
        <v>779</v>
      </c>
      <c r="S516" t="s">
        <v>790</v>
      </c>
      <c r="T516">
        <v>19084.328968</v>
      </c>
      <c r="U516" s="2">
        <v>44498</v>
      </c>
      <c r="V516" t="s">
        <v>802</v>
      </c>
    </row>
    <row r="517" spans="1:22">
      <c r="A517" s="1" t="s">
        <v>537</v>
      </c>
      <c r="B517">
        <f>HYPERLINK("https://www.suredividend.com/sure-analysis-CNP/","Centerpoint Energy Inc.")</f>
        <v>0</v>
      </c>
      <c r="C517">
        <v>26.95</v>
      </c>
      <c r="D517">
        <v>21.9</v>
      </c>
      <c r="E517">
        <v>1.230593607305936</v>
      </c>
      <c r="F517">
        <v>0.02523191094619666</v>
      </c>
      <c r="G517">
        <v>-0.04065002391513817</v>
      </c>
      <c r="H517">
        <v>0.083</v>
      </c>
      <c r="I517">
        <v>0.069599846000159</v>
      </c>
      <c r="J517" t="s">
        <v>512</v>
      </c>
      <c r="K517" t="s">
        <v>512</v>
      </c>
      <c r="L517">
        <v>1.37</v>
      </c>
      <c r="M517">
        <v>0.68</v>
      </c>
      <c r="N517">
        <v>0.4963503649635037</v>
      </c>
      <c r="O517">
        <v>1</v>
      </c>
      <c r="P517">
        <v>0.1383790323022041</v>
      </c>
      <c r="Q517">
        <v>0.125697212841412</v>
      </c>
      <c r="R517" t="s">
        <v>779</v>
      </c>
      <c r="S517" t="s">
        <v>791</v>
      </c>
      <c r="T517">
        <v>16727.828524</v>
      </c>
      <c r="U517" s="2">
        <v>44509</v>
      </c>
      <c r="V517" t="s">
        <v>804</v>
      </c>
    </row>
    <row r="518" spans="1:22">
      <c r="A518" s="1" t="s">
        <v>538</v>
      </c>
      <c r="B518">
        <f>HYPERLINK("https://www.suredividend.com/sure-analysis-HIW/","Highwoods Properties, Inc.")</f>
        <v>0</v>
      </c>
      <c r="C518">
        <v>47.28</v>
      </c>
      <c r="D518">
        <v>49</v>
      </c>
      <c r="E518">
        <v>0.9648979591836735</v>
      </c>
      <c r="F518">
        <v>0.04230118443316413</v>
      </c>
      <c r="G518">
        <v>0.00717218278372922</v>
      </c>
      <c r="H518">
        <v>0.025</v>
      </c>
      <c r="I518">
        <v>0.06918542871465228</v>
      </c>
      <c r="J518" t="s">
        <v>512</v>
      </c>
      <c r="K518" t="s">
        <v>370</v>
      </c>
      <c r="L518">
        <v>3.75</v>
      </c>
      <c r="M518">
        <v>2</v>
      </c>
      <c r="N518">
        <v>0.5333333333333333</v>
      </c>
      <c r="O518">
        <v>4</v>
      </c>
      <c r="P518">
        <v>0.02016978262061087</v>
      </c>
      <c r="Q518">
        <v>0.372457323112762</v>
      </c>
      <c r="R518" t="s">
        <v>781</v>
      </c>
      <c r="S518" t="s">
        <v>793</v>
      </c>
      <c r="T518">
        <v>4932.09968</v>
      </c>
      <c r="U518" s="2">
        <v>44496</v>
      </c>
      <c r="V518" t="s">
        <v>801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46.87</v>
      </c>
      <c r="D519">
        <v>41</v>
      </c>
      <c r="E519">
        <v>1.143170731707317</v>
      </c>
      <c r="F519">
        <v>0.04267121826328142</v>
      </c>
      <c r="G519">
        <v>-0.02640624244736611</v>
      </c>
      <c r="H519">
        <v>0.055</v>
      </c>
      <c r="I519">
        <v>0.06706810114949602</v>
      </c>
      <c r="J519" t="s">
        <v>512</v>
      </c>
      <c r="K519" t="s">
        <v>776</v>
      </c>
      <c r="L519">
        <v>2.22</v>
      </c>
      <c r="M519">
        <v>2</v>
      </c>
      <c r="N519">
        <v>0.9009009009009008</v>
      </c>
      <c r="O519">
        <v>13</v>
      </c>
      <c r="P519">
        <v>0.03971726473271953</v>
      </c>
      <c r="Q519">
        <v>0.08603535057942101</v>
      </c>
      <c r="R519" t="s">
        <v>779</v>
      </c>
      <c r="S519" t="s">
        <v>791</v>
      </c>
      <c r="T519">
        <v>12002.337365</v>
      </c>
      <c r="U519" s="2">
        <v>44466</v>
      </c>
      <c r="V519" t="s">
        <v>801</v>
      </c>
    </row>
    <row r="520" spans="1:22">
      <c r="A520" s="1" t="s">
        <v>540</v>
      </c>
      <c r="B520">
        <f>HYPERLINK("https://www.suredividend.com/sure-analysis-MPW/","Medical Properties Trust Inc")</f>
        <v>0</v>
      </c>
      <c r="C520">
        <v>21.76</v>
      </c>
      <c r="D520">
        <v>21.9</v>
      </c>
      <c r="E520">
        <v>0.9936073059360732</v>
      </c>
      <c r="F520">
        <v>0.05147058823529412</v>
      </c>
      <c r="G520">
        <v>0.001283465905240755</v>
      </c>
      <c r="H520">
        <v>0.014</v>
      </c>
      <c r="I520">
        <v>0.06495219402815589</v>
      </c>
      <c r="J520" t="s">
        <v>512</v>
      </c>
      <c r="K520" t="s">
        <v>370</v>
      </c>
      <c r="L520">
        <v>1.75</v>
      </c>
      <c r="M520">
        <v>1.12</v>
      </c>
      <c r="N520">
        <v>0.64</v>
      </c>
      <c r="O520">
        <v>9</v>
      </c>
      <c r="P520">
        <v>0.04111932758460823</v>
      </c>
      <c r="Q520">
        <v>0.162664289519171</v>
      </c>
      <c r="R520" t="s">
        <v>781</v>
      </c>
      <c r="S520" t="s">
        <v>793</v>
      </c>
      <c r="T520">
        <v>12754.857</v>
      </c>
      <c r="U520" s="2">
        <v>44503</v>
      </c>
      <c r="V520" t="s">
        <v>804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19.37</v>
      </c>
      <c r="D521">
        <v>20</v>
      </c>
      <c r="E521">
        <v>0.9685</v>
      </c>
      <c r="F521">
        <v>0.04336602994321115</v>
      </c>
      <c r="G521">
        <v>0.006421891715557626</v>
      </c>
      <c r="H521">
        <v>0.022</v>
      </c>
      <c r="I521">
        <v>0.06492235365028409</v>
      </c>
      <c r="J521" t="s">
        <v>512</v>
      </c>
      <c r="K521" t="s">
        <v>370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0.329181383101005</v>
      </c>
      <c r="R521" t="s">
        <v>781</v>
      </c>
      <c r="S521" t="s">
        <v>793</v>
      </c>
      <c r="T521">
        <v>2368.530564</v>
      </c>
      <c r="U521" s="2">
        <v>44498</v>
      </c>
      <c r="V521" t="s">
        <v>801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16.26</v>
      </c>
      <c r="D522">
        <v>16.4</v>
      </c>
      <c r="E522">
        <v>0.9914634146341466</v>
      </c>
      <c r="F522">
        <v>0.04920049200492005</v>
      </c>
      <c r="G522">
        <v>0.00171611698833396</v>
      </c>
      <c r="H522">
        <v>0.018</v>
      </c>
      <c r="I522">
        <v>0.0645002636948584</v>
      </c>
      <c r="J522" t="s">
        <v>512</v>
      </c>
      <c r="K522" t="s">
        <v>370</v>
      </c>
      <c r="L522">
        <v>1.49</v>
      </c>
      <c r="M522">
        <v>0.8</v>
      </c>
      <c r="N522">
        <v>0.5369127516778524</v>
      </c>
      <c r="O522">
        <v>0</v>
      </c>
      <c r="P522">
        <v>0.02383625553960966</v>
      </c>
      <c r="Q522">
        <v>0.672106916302272</v>
      </c>
      <c r="R522" t="s">
        <v>780</v>
      </c>
      <c r="S522" t="s">
        <v>793</v>
      </c>
      <c r="T522">
        <v>415.21568</v>
      </c>
      <c r="U522" s="2">
        <v>44509</v>
      </c>
      <c r="V522" t="s">
        <v>804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10.03</v>
      </c>
      <c r="D523">
        <v>10</v>
      </c>
      <c r="E523">
        <v>1.003</v>
      </c>
      <c r="F523">
        <v>0.04287138584247258</v>
      </c>
      <c r="G523">
        <v>-0.000598922370311894</v>
      </c>
      <c r="H523">
        <v>0.02</v>
      </c>
      <c r="I523">
        <v>0.06400970330358913</v>
      </c>
      <c r="J523" t="s">
        <v>512</v>
      </c>
      <c r="K523" t="s">
        <v>370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0.4200126735411021</v>
      </c>
      <c r="R523" t="s">
        <v>781</v>
      </c>
      <c r="S523" t="s">
        <v>793</v>
      </c>
      <c r="T523">
        <v>484.254732</v>
      </c>
      <c r="U523" s="2">
        <v>44498</v>
      </c>
      <c r="V523" t="s">
        <v>803</v>
      </c>
    </row>
    <row r="524" spans="1:22">
      <c r="A524" s="1" t="s">
        <v>544</v>
      </c>
      <c r="B524">
        <f>HYPERLINK("https://www.suredividend.com/sure-analysis-DEA/","Easterly Government Properties Inc")</f>
        <v>0</v>
      </c>
      <c r="C524">
        <v>21.44</v>
      </c>
      <c r="D524">
        <v>20.8</v>
      </c>
      <c r="E524">
        <v>1.030769230769231</v>
      </c>
      <c r="F524">
        <v>0.04944029850746268</v>
      </c>
      <c r="G524">
        <v>-0.006042738669225667</v>
      </c>
      <c r="H524">
        <v>0.021</v>
      </c>
      <c r="I524">
        <v>0.06284084434048465</v>
      </c>
      <c r="J524" t="s">
        <v>512</v>
      </c>
      <c r="K524" t="s">
        <v>776</v>
      </c>
      <c r="L524">
        <v>1.31</v>
      </c>
      <c r="M524">
        <v>1.06</v>
      </c>
      <c r="N524">
        <v>0.8091603053435115</v>
      </c>
      <c r="O524">
        <v>1</v>
      </c>
      <c r="P524">
        <v>0.04166362161741732</v>
      </c>
      <c r="Q524">
        <v>0.029999518466798</v>
      </c>
      <c r="R524" t="s">
        <v>781</v>
      </c>
      <c r="S524" t="s">
        <v>793</v>
      </c>
      <c r="T524">
        <v>1842.492633</v>
      </c>
      <c r="U524" s="2">
        <v>44506</v>
      </c>
      <c r="V524" t="s">
        <v>804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89.25</v>
      </c>
      <c r="D525">
        <v>83</v>
      </c>
      <c r="E525">
        <v>1.075301204819277</v>
      </c>
      <c r="F525">
        <v>0.02644257703081232</v>
      </c>
      <c r="G525">
        <v>-0.01441525339199012</v>
      </c>
      <c r="H525">
        <v>0.05</v>
      </c>
      <c r="I525">
        <v>0.06275927360404099</v>
      </c>
      <c r="J525" t="s">
        <v>512</v>
      </c>
      <c r="K525" t="s">
        <v>512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0.018554840289603</v>
      </c>
      <c r="R525" t="s">
        <v>779</v>
      </c>
      <c r="S525" t="s">
        <v>786</v>
      </c>
      <c r="T525">
        <v>31190.410698</v>
      </c>
      <c r="U525" s="2">
        <v>44497</v>
      </c>
      <c r="V525" t="s">
        <v>800</v>
      </c>
    </row>
    <row r="526" spans="1:22">
      <c r="A526" s="1" t="s">
        <v>546</v>
      </c>
      <c r="B526">
        <f>HYPERLINK("https://www.suredividend.com/sure-analysis-MCY/","Mercury General Corp.")</f>
        <v>0</v>
      </c>
      <c r="C526">
        <v>51.88</v>
      </c>
      <c r="D526">
        <v>53</v>
      </c>
      <c r="E526">
        <v>0.978867924528302</v>
      </c>
      <c r="F526">
        <v>0.04895913646877409</v>
      </c>
      <c r="G526">
        <v>0.004280847582679659</v>
      </c>
      <c r="H526">
        <v>0.015</v>
      </c>
      <c r="I526">
        <v>0.06166915169926224</v>
      </c>
      <c r="J526" t="s">
        <v>512</v>
      </c>
      <c r="K526" t="s">
        <v>776</v>
      </c>
      <c r="L526">
        <v>3.5</v>
      </c>
      <c r="M526">
        <v>2.54</v>
      </c>
      <c r="N526">
        <v>0.7257142857142858</v>
      </c>
      <c r="O526">
        <v>33</v>
      </c>
      <c r="P526">
        <v>0.004680391776183512</v>
      </c>
      <c r="Q526">
        <v>0.227487534419885</v>
      </c>
      <c r="R526" t="s">
        <v>779</v>
      </c>
      <c r="S526" t="s">
        <v>789</v>
      </c>
      <c r="T526">
        <v>2922.470191</v>
      </c>
      <c r="U526" s="2">
        <v>44510</v>
      </c>
      <c r="V526" t="s">
        <v>797</v>
      </c>
    </row>
    <row r="527" spans="1:22">
      <c r="A527" s="1" t="s">
        <v>547</v>
      </c>
      <c r="B527">
        <f>HYPERLINK("https://www.suredividend.com/sure-analysis-SMFG/","Sumitomo Mitsui Financial Group Inc")</f>
        <v>0</v>
      </c>
      <c r="C527">
        <v>6.89</v>
      </c>
      <c r="D527">
        <v>7.15</v>
      </c>
      <c r="E527">
        <v>0.9636363636363635</v>
      </c>
      <c r="F527">
        <v>0.04934687953555879</v>
      </c>
      <c r="G527">
        <v>0.007435763341501644</v>
      </c>
      <c r="H527">
        <v>0.01</v>
      </c>
      <c r="I527">
        <v>0.06123619121282875</v>
      </c>
      <c r="J527" t="s">
        <v>512</v>
      </c>
      <c r="K527" t="s">
        <v>370</v>
      </c>
      <c r="L527">
        <v>0.65</v>
      </c>
      <c r="M527">
        <v>0.34</v>
      </c>
      <c r="N527">
        <v>0.5230769230769231</v>
      </c>
      <c r="O527">
        <v>0</v>
      </c>
      <c r="P527">
        <v>0.01149727415513624</v>
      </c>
      <c r="Q527">
        <v>0.20630780582391</v>
      </c>
      <c r="R527" t="s">
        <v>779</v>
      </c>
      <c r="S527" t="s">
        <v>789</v>
      </c>
      <c r="T527">
        <v>48308.827885</v>
      </c>
      <c r="U527" s="2">
        <v>44429</v>
      </c>
      <c r="V527" t="s">
        <v>798</v>
      </c>
    </row>
    <row r="528" spans="1:22">
      <c r="A528" s="1" t="s">
        <v>548</v>
      </c>
      <c r="B528">
        <f>HYPERLINK("https://www.suredividend.com/sure-analysis-ADC/","Agree Realty Corp.")</f>
        <v>0</v>
      </c>
      <c r="C528">
        <v>70.65000000000001</v>
      </c>
      <c r="D528">
        <v>63</v>
      </c>
      <c r="E528">
        <v>1.121428571428571</v>
      </c>
      <c r="F528">
        <v>0.03368719037508846</v>
      </c>
      <c r="G528">
        <v>-0.02265999331815349</v>
      </c>
      <c r="H528">
        <v>0.05</v>
      </c>
      <c r="I528">
        <v>0.05920814707135769</v>
      </c>
      <c r="J528" t="s">
        <v>512</v>
      </c>
      <c r="K528" t="s">
        <v>512</v>
      </c>
      <c r="L528">
        <v>3.5</v>
      </c>
      <c r="M528">
        <v>2.38</v>
      </c>
      <c r="N528">
        <v>0.6799999999999999</v>
      </c>
      <c r="O528">
        <v>11</v>
      </c>
      <c r="P528">
        <v>0.04947750535151019</v>
      </c>
      <c r="Q528">
        <v>0.08429135422356801</v>
      </c>
      <c r="R528" t="s">
        <v>781</v>
      </c>
      <c r="S528" t="s">
        <v>793</v>
      </c>
      <c r="T528">
        <v>4875.510993</v>
      </c>
      <c r="U528" s="2">
        <v>44507</v>
      </c>
      <c r="V528" t="s">
        <v>796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16.02</v>
      </c>
      <c r="D529">
        <v>23.5</v>
      </c>
      <c r="E529">
        <v>0.6817021276595745</v>
      </c>
      <c r="F529">
        <v>0.0898876404494382</v>
      </c>
      <c r="G529">
        <v>0.07964522942940122</v>
      </c>
      <c r="H529">
        <v>-0.099</v>
      </c>
      <c r="I529">
        <v>0.05895392432494706</v>
      </c>
      <c r="J529" t="s">
        <v>512</v>
      </c>
      <c r="K529" t="s">
        <v>776</v>
      </c>
      <c r="L529">
        <v>2.94</v>
      </c>
      <c r="M529">
        <v>1.44</v>
      </c>
      <c r="N529">
        <v>0.4897959183673469</v>
      </c>
      <c r="O529">
        <v>0</v>
      </c>
      <c r="P529">
        <v>0.008197818497166498</v>
      </c>
      <c r="Q529">
        <v>0.168023535237318</v>
      </c>
      <c r="R529" t="s">
        <v>781</v>
      </c>
      <c r="S529" t="s">
        <v>793</v>
      </c>
      <c r="T529">
        <v>8419.530446999999</v>
      </c>
      <c r="U529" s="2">
        <v>44503</v>
      </c>
      <c r="V529" t="s">
        <v>804</v>
      </c>
    </row>
    <row r="530" spans="1:22">
      <c r="A530" s="1" t="s">
        <v>550</v>
      </c>
      <c r="B530">
        <f>HYPERLINK("https://www.suredividend.com/sure-analysis-HASI/","Hannon Armstrong Sustainable Infrastructure capital Inc")</f>
        <v>0</v>
      </c>
      <c r="C530">
        <v>62.55</v>
      </c>
      <c r="D530">
        <v>50</v>
      </c>
      <c r="E530">
        <v>1.251</v>
      </c>
      <c r="F530">
        <v>0.02238209432454037</v>
      </c>
      <c r="G530">
        <v>-0.04380044320511933</v>
      </c>
      <c r="H530">
        <v>0.08500000000000001</v>
      </c>
      <c r="I530">
        <v>0.05835764927100962</v>
      </c>
      <c r="J530" t="s">
        <v>512</v>
      </c>
      <c r="K530" t="s">
        <v>512</v>
      </c>
      <c r="L530">
        <v>1.68</v>
      </c>
      <c r="M530">
        <v>1.4</v>
      </c>
      <c r="N530">
        <v>0.8333333333333333</v>
      </c>
      <c r="O530">
        <v>3</v>
      </c>
      <c r="P530">
        <v>0.03959498820755258</v>
      </c>
      <c r="Q530">
        <v>0.31960733032811</v>
      </c>
      <c r="R530" t="s">
        <v>781</v>
      </c>
      <c r="S530" t="s">
        <v>793</v>
      </c>
      <c r="T530">
        <v>5037.789856</v>
      </c>
      <c r="U530" s="2">
        <v>44513</v>
      </c>
      <c r="V530" t="s">
        <v>794</v>
      </c>
    </row>
    <row r="531" spans="1:22">
      <c r="A531" s="1" t="s">
        <v>551</v>
      </c>
      <c r="B531">
        <f>HYPERLINK("https://www.suredividend.com/sure-analysis-NTAP/","Netapp Inc")</f>
        <v>0</v>
      </c>
      <c r="C531">
        <v>88.86</v>
      </c>
      <c r="D531">
        <v>79</v>
      </c>
      <c r="E531">
        <v>1.124810126582279</v>
      </c>
      <c r="F531">
        <v>0.02250731487733514</v>
      </c>
      <c r="G531">
        <v>-0.02324834339268855</v>
      </c>
      <c r="H531">
        <v>0.06</v>
      </c>
      <c r="I531">
        <v>0.05779014251929571</v>
      </c>
      <c r="J531" t="s">
        <v>512</v>
      </c>
      <c r="K531" t="s">
        <v>512</v>
      </c>
      <c r="L531">
        <v>4.95</v>
      </c>
      <c r="M531">
        <v>2</v>
      </c>
      <c r="N531">
        <v>0.404040404040404</v>
      </c>
      <c r="O531">
        <v>7</v>
      </c>
      <c r="P531">
        <v>0.0602809527753625</v>
      </c>
      <c r="Q531">
        <v>0.8373799073022501</v>
      </c>
      <c r="R531" t="s">
        <v>779</v>
      </c>
      <c r="S531" t="s">
        <v>785</v>
      </c>
      <c r="T531">
        <v>20079.685981</v>
      </c>
      <c r="U531" s="2">
        <v>44435</v>
      </c>
      <c r="V531" t="s">
        <v>800</v>
      </c>
    </row>
    <row r="532" spans="1:22">
      <c r="A532" s="1" t="s">
        <v>552</v>
      </c>
      <c r="B532">
        <f>HYPERLINK("https://www.suredividend.com/sure-analysis-CAJ/","Canon Inc")</f>
        <v>0</v>
      </c>
      <c r="C532">
        <v>22.72</v>
      </c>
      <c r="D532">
        <v>22</v>
      </c>
      <c r="E532">
        <v>1.032727272727273</v>
      </c>
      <c r="F532">
        <v>0.03389084507042254</v>
      </c>
      <c r="G532">
        <v>-0.006419931710191062</v>
      </c>
      <c r="H532">
        <v>0.03</v>
      </c>
      <c r="I532">
        <v>0.052572163141551</v>
      </c>
      <c r="J532" t="s">
        <v>512</v>
      </c>
      <c r="K532" t="s">
        <v>370</v>
      </c>
      <c r="L532">
        <v>1.8</v>
      </c>
      <c r="M532">
        <v>0.77</v>
      </c>
      <c r="N532">
        <v>0.4277777777777778</v>
      </c>
      <c r="O532">
        <v>0</v>
      </c>
      <c r="P532">
        <v>0</v>
      </c>
      <c r="Q532">
        <v>0.318863907783373</v>
      </c>
      <c r="R532" t="s">
        <v>779</v>
      </c>
      <c r="S532" t="s">
        <v>785</v>
      </c>
      <c r="T532">
        <v>30489.832787</v>
      </c>
      <c r="U532" s="2">
        <v>44505</v>
      </c>
      <c r="V532" t="s">
        <v>797</v>
      </c>
    </row>
    <row r="533" spans="1:22">
      <c r="A533" s="1" t="s">
        <v>553</v>
      </c>
      <c r="B533">
        <f>HYPERLINK("https://www.suredividend.com/sure-analysis-ING/","ING Groep N.V.")</f>
        <v>0</v>
      </c>
      <c r="C533">
        <v>15.16</v>
      </c>
      <c r="D533">
        <v>14.7</v>
      </c>
      <c r="E533">
        <v>1.031292517006803</v>
      </c>
      <c r="F533">
        <v>0.04617414248021108</v>
      </c>
      <c r="G533">
        <v>-0.006143627552885111</v>
      </c>
      <c r="H533">
        <v>0.01</v>
      </c>
      <c r="I533">
        <v>0.05165738628342842</v>
      </c>
      <c r="J533" t="s">
        <v>512</v>
      </c>
      <c r="K533" t="s">
        <v>370</v>
      </c>
      <c r="L533">
        <v>1.47</v>
      </c>
      <c r="M533">
        <v>0.7</v>
      </c>
      <c r="N533">
        <v>0.4761904761904762</v>
      </c>
      <c r="O533">
        <v>0</v>
      </c>
      <c r="P533">
        <v>0.04920026914708719</v>
      </c>
      <c r="Q533">
        <v>0.8151617991491801</v>
      </c>
      <c r="R533" t="s">
        <v>779</v>
      </c>
      <c r="S533" t="s">
        <v>789</v>
      </c>
      <c r="T533">
        <v>59302.193659</v>
      </c>
      <c r="U533" s="2">
        <v>44515</v>
      </c>
      <c r="V533" t="s">
        <v>794</v>
      </c>
    </row>
    <row r="534" spans="1:22">
      <c r="A534" s="1" t="s">
        <v>554</v>
      </c>
      <c r="B534">
        <f>HYPERLINK("https://www.suredividend.com/sure-analysis-KRG/","Kite Realty Group Trust")</f>
        <v>0</v>
      </c>
      <c r="C534">
        <v>22.25</v>
      </c>
      <c r="D534">
        <v>19</v>
      </c>
      <c r="E534">
        <v>1.171052631578947</v>
      </c>
      <c r="F534">
        <v>0.03235955056179775</v>
      </c>
      <c r="G534">
        <v>-0.0310871467760625</v>
      </c>
      <c r="H534">
        <v>0.055</v>
      </c>
      <c r="I534">
        <v>0.05113719201720923</v>
      </c>
      <c r="J534" t="s">
        <v>512</v>
      </c>
      <c r="K534" t="s">
        <v>512</v>
      </c>
      <c r="L534">
        <v>1.37</v>
      </c>
      <c r="M534">
        <v>0.72</v>
      </c>
      <c r="N534">
        <v>0.5255474452554744</v>
      </c>
      <c r="O534">
        <v>1</v>
      </c>
      <c r="P534">
        <v>0.01087212085035083</v>
      </c>
      <c r="Q534">
        <v>0.6435902220563531</v>
      </c>
      <c r="R534" t="s">
        <v>781</v>
      </c>
      <c r="S534" t="s">
        <v>793</v>
      </c>
      <c r="T534">
        <v>4822.774951</v>
      </c>
      <c r="U534" s="2">
        <v>44512</v>
      </c>
      <c r="V534" t="s">
        <v>801</v>
      </c>
    </row>
    <row r="535" spans="1:22">
      <c r="A535" s="1" t="s">
        <v>555</v>
      </c>
      <c r="B535">
        <f>HYPERLINK("https://www.suredividend.com/sure-analysis-UE/","Urban Edge Properties")</f>
        <v>0</v>
      </c>
      <c r="C535">
        <v>18.71</v>
      </c>
      <c r="D535">
        <v>18</v>
      </c>
      <c r="E535">
        <v>1.039444444444444</v>
      </c>
      <c r="F535">
        <v>0.03206841261357563</v>
      </c>
      <c r="G535">
        <v>-0.007707420804474174</v>
      </c>
      <c r="H535">
        <v>0.03</v>
      </c>
      <c r="I535">
        <v>0.05067733707694555</v>
      </c>
      <c r="J535" t="s">
        <v>512</v>
      </c>
      <c r="K535" t="s">
        <v>512</v>
      </c>
      <c r="L535">
        <v>1.08</v>
      </c>
      <c r="M535">
        <v>0.6</v>
      </c>
      <c r="N535">
        <v>0.5555555555555555</v>
      </c>
      <c r="O535">
        <v>0</v>
      </c>
      <c r="P535">
        <v>0.009805797673485328</v>
      </c>
      <c r="Q535">
        <v>0.586521465462979</v>
      </c>
      <c r="R535" t="s">
        <v>781</v>
      </c>
      <c r="S535" t="s">
        <v>793</v>
      </c>
      <c r="T535">
        <v>2155.335299</v>
      </c>
      <c r="U535" s="2">
        <v>44512</v>
      </c>
      <c r="V535" t="s">
        <v>801</v>
      </c>
    </row>
    <row r="536" spans="1:22">
      <c r="A536" s="1" t="s">
        <v>556</v>
      </c>
      <c r="B536">
        <f>HYPERLINK("https://www.suredividend.com/sure-analysis-WPP/","WPP Plc.")</f>
        <v>0</v>
      </c>
      <c r="C536">
        <v>73.73</v>
      </c>
      <c r="D536">
        <v>72</v>
      </c>
      <c r="E536">
        <v>1.024027777777778</v>
      </c>
      <c r="F536">
        <v>0.0263122202631222</v>
      </c>
      <c r="G536">
        <v>-0.004737473202453102</v>
      </c>
      <c r="H536">
        <v>0.03</v>
      </c>
      <c r="I536">
        <v>0.05065660843052711</v>
      </c>
      <c r="J536" t="s">
        <v>512</v>
      </c>
      <c r="K536" t="s">
        <v>512</v>
      </c>
      <c r="L536">
        <v>5.15</v>
      </c>
      <c r="M536">
        <v>1.94</v>
      </c>
      <c r="N536">
        <v>0.3766990291262136</v>
      </c>
      <c r="O536">
        <v>0</v>
      </c>
      <c r="P536">
        <v>0.03997297703182556</v>
      </c>
      <c r="Q536">
        <v>0.584834970676827</v>
      </c>
      <c r="R536" t="s">
        <v>779</v>
      </c>
      <c r="S536" t="s">
        <v>783</v>
      </c>
      <c r="T536">
        <v>17538.202209</v>
      </c>
      <c r="U536" s="2">
        <v>44413</v>
      </c>
      <c r="V536" t="s">
        <v>798</v>
      </c>
    </row>
    <row r="537" spans="1:22">
      <c r="A537" s="1" t="s">
        <v>557</v>
      </c>
      <c r="B537">
        <f>HYPERLINK("https://www.suredividend.com/sure-analysis-JNPR/","Juniper Networks Inc")</f>
        <v>0</v>
      </c>
      <c r="C537">
        <v>32.14</v>
      </c>
      <c r="D537">
        <v>26</v>
      </c>
      <c r="E537">
        <v>1.236153846153846</v>
      </c>
      <c r="F537">
        <v>0.02489110143123833</v>
      </c>
      <c r="G537">
        <v>-0.04151461505932652</v>
      </c>
      <c r="H537">
        <v>0.07000000000000001</v>
      </c>
      <c r="I537">
        <v>0.05043632052170488</v>
      </c>
      <c r="J537" t="s">
        <v>512</v>
      </c>
      <c r="K537" t="s">
        <v>512</v>
      </c>
      <c r="L537">
        <v>1.8</v>
      </c>
      <c r="M537">
        <v>0.8</v>
      </c>
      <c r="N537">
        <v>0.4444444444444445</v>
      </c>
      <c r="O537">
        <v>3</v>
      </c>
      <c r="P537">
        <v>0.04978904632428516</v>
      </c>
      <c r="Q537">
        <v>0.513440466459078</v>
      </c>
      <c r="R537" t="s">
        <v>779</v>
      </c>
      <c r="S537" t="s">
        <v>785</v>
      </c>
      <c r="T537">
        <v>10415.551049</v>
      </c>
      <c r="U537" s="2">
        <v>44498</v>
      </c>
      <c r="V537" t="s">
        <v>801</v>
      </c>
    </row>
    <row r="538" spans="1:22">
      <c r="A538" s="1" t="s">
        <v>558</v>
      </c>
      <c r="B538">
        <f>HYPERLINK("https://www.suredividend.com/sure-analysis-ALV/","Autoliv Inc.")</f>
        <v>0</v>
      </c>
      <c r="C538">
        <v>101.99</v>
      </c>
      <c r="D538">
        <v>71</v>
      </c>
      <c r="E538">
        <v>1.436478873239436</v>
      </c>
      <c r="F538">
        <v>0.02510050004902441</v>
      </c>
      <c r="G538">
        <v>-0.069877497549239</v>
      </c>
      <c r="H538">
        <v>0.1</v>
      </c>
      <c r="I538">
        <v>0.0495740363088728</v>
      </c>
      <c r="J538" t="s">
        <v>512</v>
      </c>
      <c r="K538" t="s">
        <v>512</v>
      </c>
      <c r="L538">
        <v>5.1</v>
      </c>
      <c r="M538">
        <v>2.56</v>
      </c>
      <c r="N538">
        <v>0.5019607843137255</v>
      </c>
      <c r="O538">
        <v>1</v>
      </c>
      <c r="P538">
        <v>0.06576275663547415</v>
      </c>
      <c r="Q538">
        <v>0.186512423530776</v>
      </c>
      <c r="R538" t="s">
        <v>779</v>
      </c>
      <c r="S538" t="s">
        <v>790</v>
      </c>
      <c r="T538">
        <v>8949.262264000001</v>
      </c>
      <c r="U538" s="2">
        <v>44493</v>
      </c>
      <c r="V538" t="s">
        <v>798</v>
      </c>
    </row>
    <row r="539" spans="1:22">
      <c r="A539" s="1" t="s">
        <v>559</v>
      </c>
      <c r="B539">
        <f>HYPERLINK("https://www.suredividend.com/sure-analysis-NSP/","Insperity Inc")</f>
        <v>0</v>
      </c>
      <c r="C539">
        <v>119.26</v>
      </c>
      <c r="D539">
        <v>96</v>
      </c>
      <c r="E539">
        <v>1.242291666666667</v>
      </c>
      <c r="F539">
        <v>0.01509307395606238</v>
      </c>
      <c r="G539">
        <v>-0.04246361480476502</v>
      </c>
      <c r="H539">
        <v>0.08</v>
      </c>
      <c r="I539">
        <v>0.04902854197401396</v>
      </c>
      <c r="J539" t="s">
        <v>512</v>
      </c>
      <c r="K539" t="s">
        <v>777</v>
      </c>
      <c r="L539">
        <v>4.36</v>
      </c>
      <c r="M539">
        <v>1.8</v>
      </c>
      <c r="N539">
        <v>0.4128440366972477</v>
      </c>
      <c r="O539">
        <v>14</v>
      </c>
      <c r="P539">
        <v>0.05024607263868264</v>
      </c>
      <c r="Q539">
        <v>0.378503385112852</v>
      </c>
      <c r="R539" t="s">
        <v>779</v>
      </c>
      <c r="S539" t="s">
        <v>789</v>
      </c>
      <c r="T539">
        <v>4622.134607</v>
      </c>
      <c r="U539" s="2">
        <v>44502</v>
      </c>
      <c r="V539" t="s">
        <v>801</v>
      </c>
    </row>
    <row r="540" spans="1:22">
      <c r="A540" s="1" t="s">
        <v>560</v>
      </c>
      <c r="B540">
        <f>HYPERLINK("https://www.suredividend.com/sure-analysis-KHC/","Kraft Heinz Co")</f>
        <v>0</v>
      </c>
      <c r="C540">
        <v>37.62</v>
      </c>
      <c r="D540">
        <v>36</v>
      </c>
      <c r="E540">
        <v>1.045</v>
      </c>
      <c r="F540">
        <v>0.04253056884635833</v>
      </c>
      <c r="G540">
        <v>-0.008764740818979599</v>
      </c>
      <c r="H540">
        <v>0.02</v>
      </c>
      <c r="I540">
        <v>0.04883046574606609</v>
      </c>
      <c r="J540" t="s">
        <v>512</v>
      </c>
      <c r="K540" t="s">
        <v>370</v>
      </c>
      <c r="L540">
        <v>2.8</v>
      </c>
      <c r="M540">
        <v>1.6</v>
      </c>
      <c r="N540">
        <v>0.5714285714285715</v>
      </c>
      <c r="O540">
        <v>0</v>
      </c>
      <c r="P540">
        <v>0</v>
      </c>
      <c r="Q540">
        <v>0.228350406589925</v>
      </c>
      <c r="R540" t="s">
        <v>779</v>
      </c>
      <c r="S540" t="s">
        <v>788</v>
      </c>
      <c r="T540">
        <v>45604.232472</v>
      </c>
      <c r="U540" s="2">
        <v>44508</v>
      </c>
      <c r="V540" t="s">
        <v>797</v>
      </c>
    </row>
    <row r="541" spans="1:22">
      <c r="A541" s="1" t="s">
        <v>561</v>
      </c>
      <c r="B541">
        <f>HYPERLINK("https://www.suredividend.com/sure-analysis-GLW/","Corning, Inc.")</f>
        <v>0</v>
      </c>
      <c r="C541">
        <v>38.7</v>
      </c>
      <c r="D541">
        <v>34</v>
      </c>
      <c r="E541">
        <v>1.138235294117647</v>
      </c>
      <c r="F541">
        <v>0.02480620155038759</v>
      </c>
      <c r="G541">
        <v>-0.0255633940835589</v>
      </c>
      <c r="H541">
        <v>0.05</v>
      </c>
      <c r="I541">
        <v>0.04834874897011843</v>
      </c>
      <c r="J541" t="s">
        <v>512</v>
      </c>
      <c r="K541" t="s">
        <v>512</v>
      </c>
      <c r="L541">
        <v>2.15</v>
      </c>
      <c r="M541">
        <v>0.96</v>
      </c>
      <c r="N541">
        <v>0.4465116279069767</v>
      </c>
      <c r="O541">
        <v>11</v>
      </c>
      <c r="P541">
        <v>0.05251935381426631</v>
      </c>
      <c r="Q541">
        <v>0.118270225769382</v>
      </c>
      <c r="R541" t="s">
        <v>779</v>
      </c>
      <c r="S541" t="s">
        <v>785</v>
      </c>
      <c r="T541">
        <v>33385.338916</v>
      </c>
      <c r="U541" s="2">
        <v>44497</v>
      </c>
      <c r="V541" t="s">
        <v>800</v>
      </c>
    </row>
    <row r="542" spans="1:22">
      <c r="A542" s="1" t="s">
        <v>562</v>
      </c>
      <c r="B542">
        <f>HYPERLINK("https://www.suredividend.com/sure-analysis-COP/","Conoco Phillips")</f>
        <v>0</v>
      </c>
      <c r="C542">
        <v>72.72</v>
      </c>
      <c r="D542">
        <v>74</v>
      </c>
      <c r="E542">
        <v>0.9827027027027027</v>
      </c>
      <c r="F542">
        <v>0.02530253025302531</v>
      </c>
      <c r="G542">
        <v>0.003495824859363506</v>
      </c>
      <c r="H542">
        <v>0.02</v>
      </c>
      <c r="I542">
        <v>0.04766513473689082</v>
      </c>
      <c r="J542" t="s">
        <v>512</v>
      </c>
      <c r="K542" t="s">
        <v>512</v>
      </c>
      <c r="L542">
        <v>5.8</v>
      </c>
      <c r="M542">
        <v>1.84</v>
      </c>
      <c r="N542">
        <v>0.3172413793103449</v>
      </c>
      <c r="O542">
        <v>6</v>
      </c>
      <c r="P542">
        <v>0.03066894385040531</v>
      </c>
      <c r="Q542">
        <v>1.109756310900407</v>
      </c>
      <c r="R542" t="s">
        <v>779</v>
      </c>
      <c r="S542" t="s">
        <v>792</v>
      </c>
      <c r="T542">
        <v>95438.99529599999</v>
      </c>
      <c r="U542" s="2">
        <v>44504</v>
      </c>
      <c r="V542" t="s">
        <v>802</v>
      </c>
    </row>
    <row r="543" spans="1:22">
      <c r="A543" s="1" t="s">
        <v>563</v>
      </c>
      <c r="B543">
        <f>HYPERLINK("https://www.suredividend.com/sure-analysis-TS/","Tenaris S.A.")</f>
        <v>0</v>
      </c>
      <c r="C543">
        <v>23.38</v>
      </c>
      <c r="D543">
        <v>17</v>
      </c>
      <c r="E543">
        <v>1.375294117647059</v>
      </c>
      <c r="F543">
        <v>0.01796407185628742</v>
      </c>
      <c r="G543">
        <v>-0.06174500983892861</v>
      </c>
      <c r="H543">
        <v>0.1</v>
      </c>
      <c r="I543">
        <v>0.04744849168083154</v>
      </c>
      <c r="J543" t="s">
        <v>512</v>
      </c>
      <c r="K543" t="s">
        <v>777</v>
      </c>
      <c r="L543">
        <v>1</v>
      </c>
      <c r="M543">
        <v>0.42</v>
      </c>
      <c r="N543">
        <v>0.42</v>
      </c>
      <c r="O543">
        <v>0</v>
      </c>
      <c r="P543">
        <v>0</v>
      </c>
      <c r="Q543">
        <v>0.762978203178578</v>
      </c>
      <c r="R543" t="s">
        <v>779</v>
      </c>
      <c r="S543" t="s">
        <v>792</v>
      </c>
      <c r="T543">
        <v>13959.848015</v>
      </c>
      <c r="U543" s="2">
        <v>44413</v>
      </c>
      <c r="V543" t="s">
        <v>798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145.28</v>
      </c>
      <c r="D544">
        <v>114</v>
      </c>
      <c r="E544">
        <v>1.274385964912281</v>
      </c>
      <c r="F544">
        <v>0.01844713656387665</v>
      </c>
      <c r="G544">
        <v>-0.04733589041228525</v>
      </c>
      <c r="H544">
        <v>0.08</v>
      </c>
      <c r="I544">
        <v>0.0473055349967122</v>
      </c>
      <c r="J544" t="s">
        <v>512</v>
      </c>
      <c r="K544" t="s">
        <v>777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0.260485693998333</v>
      </c>
      <c r="R544" t="s">
        <v>779</v>
      </c>
      <c r="S544" t="s">
        <v>785</v>
      </c>
      <c r="T544">
        <v>27517.438771</v>
      </c>
      <c r="U544" s="2">
        <v>44514</v>
      </c>
      <c r="V544" t="s">
        <v>798</v>
      </c>
    </row>
    <row r="545" spans="1:22">
      <c r="A545" s="1" t="s">
        <v>565</v>
      </c>
      <c r="B545">
        <f>HYPERLINK("https://www.suredividend.com/sure-analysis-CORR/","CorEnergy Infrastructure Trust Inc")</f>
        <v>0</v>
      </c>
      <c r="C545">
        <v>4.75</v>
      </c>
      <c r="D545">
        <v>4.5</v>
      </c>
      <c r="E545">
        <v>1.055555555555556</v>
      </c>
      <c r="F545">
        <v>0.04210526315789474</v>
      </c>
      <c r="G545">
        <v>-0.01075518913431428</v>
      </c>
      <c r="H545">
        <v>0.02</v>
      </c>
      <c r="I545">
        <v>0.0467243634718788</v>
      </c>
      <c r="J545" t="s">
        <v>512</v>
      </c>
      <c r="K545" t="s">
        <v>370</v>
      </c>
      <c r="L545">
        <v>0.45</v>
      </c>
      <c r="M545">
        <v>0.2</v>
      </c>
      <c r="N545">
        <v>0.4444444444444445</v>
      </c>
      <c r="O545">
        <v>0</v>
      </c>
      <c r="P545">
        <v>0</v>
      </c>
      <c r="Q545">
        <v>0.013287242087069</v>
      </c>
      <c r="R545" t="s">
        <v>779</v>
      </c>
      <c r="S545" t="s">
        <v>793</v>
      </c>
      <c r="T545">
        <v>69.72528699999999</v>
      </c>
      <c r="U545" s="2">
        <v>44418</v>
      </c>
      <c r="V545" t="s">
        <v>795</v>
      </c>
    </row>
    <row r="546" spans="1:22">
      <c r="A546" s="1" t="s">
        <v>566</v>
      </c>
      <c r="B546">
        <f>HYPERLINK("https://www.suredividend.com/sure-analysis-CCI/","Crown Castle International Corp")</f>
        <v>0</v>
      </c>
      <c r="C546">
        <v>182.78</v>
      </c>
      <c r="D546">
        <v>152</v>
      </c>
      <c r="E546">
        <v>1.2025</v>
      </c>
      <c r="F546">
        <v>0.03216982164350585</v>
      </c>
      <c r="G546">
        <v>-0.03620874145639319</v>
      </c>
      <c r="H546">
        <v>0.05</v>
      </c>
      <c r="I546">
        <v>0.04529358030110298</v>
      </c>
      <c r="J546" t="s">
        <v>512</v>
      </c>
      <c r="K546" t="s">
        <v>370</v>
      </c>
      <c r="L546">
        <v>6.35</v>
      </c>
      <c r="M546">
        <v>5.88</v>
      </c>
      <c r="N546">
        <v>0.925984251968504</v>
      </c>
      <c r="O546">
        <v>7</v>
      </c>
      <c r="P546">
        <v>0.04987304960985517</v>
      </c>
      <c r="Q546">
        <v>0.109599836978804</v>
      </c>
      <c r="R546" t="s">
        <v>781</v>
      </c>
      <c r="S546" t="s">
        <v>793</v>
      </c>
      <c r="T546">
        <v>78133.703173</v>
      </c>
      <c r="U546" s="2">
        <v>44493</v>
      </c>
      <c r="V546" t="s">
        <v>798</v>
      </c>
    </row>
    <row r="547" spans="1:22">
      <c r="A547" s="1" t="s">
        <v>567</v>
      </c>
      <c r="B547">
        <f>HYPERLINK("https://www.suredividend.com/sure-analysis-HBAN/","Huntington Bancshares, Inc.")</f>
        <v>0</v>
      </c>
      <c r="C547">
        <v>16.46</v>
      </c>
      <c r="D547">
        <v>14</v>
      </c>
      <c r="E547">
        <v>1.175714285714286</v>
      </c>
      <c r="F547">
        <v>0.03766707168894289</v>
      </c>
      <c r="G547">
        <v>-0.03185670741097435</v>
      </c>
      <c r="H547">
        <v>0.04</v>
      </c>
      <c r="I547">
        <v>0.045011144144953</v>
      </c>
      <c r="J547" t="s">
        <v>512</v>
      </c>
      <c r="K547" t="s">
        <v>370</v>
      </c>
      <c r="L547">
        <v>1.25</v>
      </c>
      <c r="M547">
        <v>0.62</v>
      </c>
      <c r="N547">
        <v>0.496</v>
      </c>
      <c r="O547">
        <v>1</v>
      </c>
      <c r="P547">
        <v>0.03880472124431766</v>
      </c>
      <c r="Q547">
        <v>0.4618830853379871</v>
      </c>
      <c r="R547" t="s">
        <v>779</v>
      </c>
      <c r="S547" t="s">
        <v>789</v>
      </c>
      <c r="T547">
        <v>23504.995296</v>
      </c>
      <c r="U547" s="2">
        <v>44499</v>
      </c>
      <c r="V547" t="s">
        <v>800</v>
      </c>
    </row>
    <row r="548" spans="1:22">
      <c r="A548" s="1" t="s">
        <v>568</v>
      </c>
      <c r="B548">
        <f>HYPERLINK("https://www.suredividend.com/sure-analysis-DEI/","Douglas Emmett Inc")</f>
        <v>0</v>
      </c>
      <c r="C548">
        <v>36.92</v>
      </c>
      <c r="D548">
        <v>28</v>
      </c>
      <c r="E548">
        <v>1.318571428571429</v>
      </c>
      <c r="F548">
        <v>0.03033586132177682</v>
      </c>
      <c r="G548">
        <v>-0.05380800870396096</v>
      </c>
      <c r="H548">
        <v>0.07000000000000001</v>
      </c>
      <c r="I548">
        <v>0.04480946962970878</v>
      </c>
      <c r="J548" t="s">
        <v>512</v>
      </c>
      <c r="K548" t="s">
        <v>512</v>
      </c>
      <c r="L548">
        <v>1.81</v>
      </c>
      <c r="M548">
        <v>1.12</v>
      </c>
      <c r="N548">
        <v>0.6187845303867404</v>
      </c>
      <c r="O548">
        <v>10</v>
      </c>
      <c r="P548">
        <v>0.06016789231717423</v>
      </c>
      <c r="Q548">
        <v>0.231527093596059</v>
      </c>
      <c r="R548" t="s">
        <v>781</v>
      </c>
      <c r="S548" t="s">
        <v>793</v>
      </c>
      <c r="T548">
        <v>6361.359525</v>
      </c>
      <c r="U548" s="2">
        <v>44474</v>
      </c>
      <c r="V548" t="s">
        <v>802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69.31999999999999</v>
      </c>
      <c r="D549">
        <v>51</v>
      </c>
      <c r="E549">
        <v>1.35921568627451</v>
      </c>
      <c r="F549">
        <v>0.01500288517022504</v>
      </c>
      <c r="G549">
        <v>-0.05953567830388828</v>
      </c>
      <c r="H549">
        <v>0.09</v>
      </c>
      <c r="I549">
        <v>0.04270507653732802</v>
      </c>
      <c r="J549" t="s">
        <v>512</v>
      </c>
      <c r="K549" t="s">
        <v>777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0.170944243992102</v>
      </c>
      <c r="R549" t="s">
        <v>779</v>
      </c>
      <c r="S549" t="s">
        <v>790</v>
      </c>
      <c r="T549">
        <v>82734.696754</v>
      </c>
      <c r="U549" s="2">
        <v>44429</v>
      </c>
      <c r="V549" t="s">
        <v>803</v>
      </c>
    </row>
    <row r="550" spans="1:22">
      <c r="A550" s="1" t="s">
        <v>570</v>
      </c>
      <c r="B550">
        <f>HYPERLINK("https://www.suredividend.com/sure-analysis-BBD/","Banco Bradesco S.A.")</f>
        <v>0</v>
      </c>
      <c r="C550">
        <v>3.82</v>
      </c>
      <c r="D550">
        <v>3.5</v>
      </c>
      <c r="E550">
        <v>1.091428571428571</v>
      </c>
      <c r="F550">
        <v>0.06282722513089005</v>
      </c>
      <c r="G550">
        <v>-0.01734529868503976</v>
      </c>
      <c r="H550">
        <v>0</v>
      </c>
      <c r="I550">
        <v>0.04233398730588744</v>
      </c>
      <c r="J550" t="s">
        <v>512</v>
      </c>
      <c r="K550" t="s">
        <v>776</v>
      </c>
      <c r="L550">
        <v>0.5</v>
      </c>
      <c r="M550">
        <v>0.24</v>
      </c>
      <c r="N550">
        <v>0.48</v>
      </c>
      <c r="O550">
        <v>0</v>
      </c>
      <c r="P550">
        <v>0</v>
      </c>
      <c r="Q550">
        <v>0.004094619617661</v>
      </c>
      <c r="R550" t="s">
        <v>779</v>
      </c>
      <c r="S550" t="s">
        <v>789</v>
      </c>
      <c r="T550">
        <v>34690.931974</v>
      </c>
      <c r="U550" s="2">
        <v>44506</v>
      </c>
      <c r="V550" t="s">
        <v>794</v>
      </c>
    </row>
    <row r="551" spans="1:22">
      <c r="A551" s="1" t="s">
        <v>571</v>
      </c>
      <c r="B551">
        <f>HYPERLINK("https://www.suredividend.com/sure-analysis-AVGO/","Broadcom Inc")</f>
        <v>0</v>
      </c>
      <c r="C551">
        <v>565.77</v>
      </c>
      <c r="D551">
        <v>420</v>
      </c>
      <c r="E551">
        <v>1.347071428571428</v>
      </c>
      <c r="F551">
        <v>0.02545203881435919</v>
      </c>
      <c r="G551">
        <v>-0.05784604613614264</v>
      </c>
      <c r="H551">
        <v>0.075</v>
      </c>
      <c r="I551">
        <v>0.04176490093790486</v>
      </c>
      <c r="J551" t="s">
        <v>512</v>
      </c>
      <c r="K551" t="s">
        <v>512</v>
      </c>
      <c r="L551">
        <v>28</v>
      </c>
      <c r="M551">
        <v>14.4</v>
      </c>
      <c r="N551">
        <v>0.5142857142857143</v>
      </c>
      <c r="O551">
        <v>10</v>
      </c>
      <c r="P551">
        <v>0.08001710619661218</v>
      </c>
      <c r="Q551">
        <v>0.5560063663596291</v>
      </c>
      <c r="R551" t="s">
        <v>779</v>
      </c>
      <c r="S551" t="s">
        <v>785</v>
      </c>
      <c r="T551">
        <v>231830.525727</v>
      </c>
      <c r="U551" s="2">
        <v>44453</v>
      </c>
      <c r="V551" t="s">
        <v>797</v>
      </c>
    </row>
    <row r="552" spans="1:22">
      <c r="A552" s="1" t="s">
        <v>572</v>
      </c>
      <c r="B552">
        <f>HYPERLINK("https://www.suredividend.com/sure-analysis-BXP/","Boston Properties, Inc.")</f>
        <v>0</v>
      </c>
      <c r="C552">
        <v>120.66</v>
      </c>
      <c r="D552">
        <v>103</v>
      </c>
      <c r="E552">
        <v>1.171456310679612</v>
      </c>
      <c r="F552">
        <v>0.03248798276147853</v>
      </c>
      <c r="G552">
        <v>-0.03115393267144806</v>
      </c>
      <c r="H552">
        <v>0.044</v>
      </c>
      <c r="I552">
        <v>0.04160806293763186</v>
      </c>
      <c r="J552" t="s">
        <v>512</v>
      </c>
      <c r="K552" t="s">
        <v>512</v>
      </c>
      <c r="L552">
        <v>6.45</v>
      </c>
      <c r="M552">
        <v>3.92</v>
      </c>
      <c r="N552">
        <v>0.6077519379844961</v>
      </c>
      <c r="O552">
        <v>5</v>
      </c>
      <c r="P552">
        <v>0.01000199077119301</v>
      </c>
      <c r="Q552">
        <v>0.336821152589071</v>
      </c>
      <c r="R552" t="s">
        <v>781</v>
      </c>
      <c r="S552" t="s">
        <v>793</v>
      </c>
      <c r="T552">
        <v>18432.419392</v>
      </c>
      <c r="U552" s="2">
        <v>44503</v>
      </c>
      <c r="V552" t="s">
        <v>804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60.46</v>
      </c>
      <c r="D553">
        <v>62</v>
      </c>
      <c r="E553">
        <v>0.9751612903225807</v>
      </c>
      <c r="F553">
        <v>0.03043334435990738</v>
      </c>
      <c r="G553">
        <v>0.005043153242297649</v>
      </c>
      <c r="H553">
        <v>0</v>
      </c>
      <c r="I553">
        <v>0.03838108271931606</v>
      </c>
      <c r="J553" t="s">
        <v>512</v>
      </c>
      <c r="K553" t="s">
        <v>370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0.4418940529616021</v>
      </c>
      <c r="R553" t="s">
        <v>779</v>
      </c>
      <c r="S553" t="s">
        <v>789</v>
      </c>
      <c r="T553">
        <v>89709.25958</v>
      </c>
      <c r="U553" s="2">
        <v>44491</v>
      </c>
      <c r="V553" t="s">
        <v>798</v>
      </c>
    </row>
    <row r="554" spans="1:22">
      <c r="A554" s="1" t="s">
        <v>574</v>
      </c>
      <c r="B554">
        <f>HYPERLINK("https://www.suredividend.com/sure-analysis-GEL/","Genesis Energy L.P.")</f>
        <v>0</v>
      </c>
      <c r="C554">
        <v>12.58</v>
      </c>
      <c r="D554">
        <v>10</v>
      </c>
      <c r="E554">
        <v>1.258</v>
      </c>
      <c r="F554">
        <v>0.04769475357710651</v>
      </c>
      <c r="G554">
        <v>-0.04486695269531704</v>
      </c>
      <c r="H554">
        <v>0.04</v>
      </c>
      <c r="I554">
        <v>0.03810459143288902</v>
      </c>
      <c r="J554" t="s">
        <v>512</v>
      </c>
      <c r="K554" t="s">
        <v>776</v>
      </c>
      <c r="L554">
        <v>2</v>
      </c>
      <c r="M554">
        <v>0.6</v>
      </c>
      <c r="N554">
        <v>0.3</v>
      </c>
      <c r="O554">
        <v>0</v>
      </c>
      <c r="P554">
        <v>0</v>
      </c>
      <c r="Q554">
        <v>1.637064621238186</v>
      </c>
      <c r="R554" t="s">
        <v>780</v>
      </c>
      <c r="S554" t="s">
        <v>792</v>
      </c>
      <c r="T554">
        <v>1596.68605</v>
      </c>
      <c r="U554" s="2">
        <v>44434</v>
      </c>
      <c r="V554" t="s">
        <v>802</v>
      </c>
    </row>
    <row r="555" spans="1:22">
      <c r="A555" s="1" t="s">
        <v>575</v>
      </c>
      <c r="B555">
        <f>HYPERLINK("https://www.suredividend.com/sure-analysis-AES/","AES Corp.")</f>
        <v>0</v>
      </c>
      <c r="C555">
        <v>25.03</v>
      </c>
      <c r="D555">
        <v>19</v>
      </c>
      <c r="E555">
        <v>1.317368421052632</v>
      </c>
      <c r="F555">
        <v>0.02397123451857771</v>
      </c>
      <c r="G555">
        <v>-0.05363526120153761</v>
      </c>
      <c r="H555">
        <v>0.07000000000000001</v>
      </c>
      <c r="I555">
        <v>0.03786510720222203</v>
      </c>
      <c r="J555" t="s">
        <v>512</v>
      </c>
      <c r="K555" t="s">
        <v>512</v>
      </c>
      <c r="L555">
        <v>1.54</v>
      </c>
      <c r="M555">
        <v>0.6</v>
      </c>
      <c r="N555">
        <v>0.3896103896103896</v>
      </c>
      <c r="O555">
        <v>10</v>
      </c>
      <c r="P555">
        <v>0.05115774595007161</v>
      </c>
      <c r="Q555">
        <v>0.213489764861813</v>
      </c>
      <c r="R555" t="s">
        <v>779</v>
      </c>
      <c r="S555" t="s">
        <v>792</v>
      </c>
      <c r="T555">
        <v>16481.165853</v>
      </c>
      <c r="U555" s="2">
        <v>44513</v>
      </c>
      <c r="V555" t="s">
        <v>801</v>
      </c>
    </row>
    <row r="556" spans="1:22">
      <c r="A556" s="1" t="s">
        <v>576</v>
      </c>
      <c r="B556">
        <f>HYPERLINK("https://www.suredividend.com/sure-analysis-TU/","Telus Corp.")</f>
        <v>0</v>
      </c>
      <c r="C556">
        <v>23.06</v>
      </c>
      <c r="D556">
        <v>15</v>
      </c>
      <c r="E556">
        <v>1.537333333333333</v>
      </c>
      <c r="F556">
        <v>0.04466608846487424</v>
      </c>
      <c r="G556">
        <v>-0.08241481873565093</v>
      </c>
      <c r="H556">
        <v>0.08</v>
      </c>
      <c r="I556">
        <v>0.03705244579508649</v>
      </c>
      <c r="J556" t="s">
        <v>512</v>
      </c>
      <c r="K556" t="s">
        <v>370</v>
      </c>
      <c r="L556">
        <v>0.95</v>
      </c>
      <c r="M556">
        <v>1.03</v>
      </c>
      <c r="N556">
        <v>1.08421052631579</v>
      </c>
      <c r="O556">
        <v>13</v>
      </c>
      <c r="P556">
        <v>0.02929993970978573</v>
      </c>
      <c r="Q556">
        <v>0.283139918860269</v>
      </c>
      <c r="R556" t="s">
        <v>779</v>
      </c>
      <c r="S556" t="s">
        <v>783</v>
      </c>
      <c r="T556">
        <v>31461.344923</v>
      </c>
      <c r="U556" s="2">
        <v>44439</v>
      </c>
      <c r="V556" t="s">
        <v>802</v>
      </c>
    </row>
    <row r="557" spans="1:22">
      <c r="A557" s="1" t="s">
        <v>577</v>
      </c>
      <c r="B557">
        <f>HYPERLINK("https://www.suredividend.com/sure-analysis-SUUIF/","Superior Plus Corp.")</f>
        <v>0</v>
      </c>
      <c r="C557">
        <v>11.31</v>
      </c>
      <c r="D557">
        <v>10.6</v>
      </c>
      <c r="E557">
        <v>1.066981132075472</v>
      </c>
      <c r="F557">
        <v>0.05039787798408488</v>
      </c>
      <c r="G557">
        <v>-0.01288295287636354</v>
      </c>
      <c r="H557">
        <v>0</v>
      </c>
      <c r="I557">
        <v>0.03526596340934973</v>
      </c>
      <c r="J557" t="s">
        <v>512</v>
      </c>
      <c r="K557" t="s">
        <v>776</v>
      </c>
      <c r="L557">
        <v>1.75</v>
      </c>
      <c r="M557">
        <v>0.57</v>
      </c>
      <c r="N557">
        <v>0.3257142857142857</v>
      </c>
      <c r="O557">
        <v>0</v>
      </c>
      <c r="P557">
        <v>0</v>
      </c>
      <c r="Q557">
        <v>0.319865319865319</v>
      </c>
      <c r="R557" t="s">
        <v>779</v>
      </c>
      <c r="S557" t="s">
        <v>791</v>
      </c>
      <c r="T557">
        <v>2070.250239</v>
      </c>
      <c r="U557" s="2">
        <v>44422</v>
      </c>
      <c r="V557" t="s">
        <v>794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18.52</v>
      </c>
      <c r="D558">
        <v>16</v>
      </c>
      <c r="E558">
        <v>1.1575</v>
      </c>
      <c r="F558">
        <v>0.04967602591792657</v>
      </c>
      <c r="G558">
        <v>-0.02882878858175919</v>
      </c>
      <c r="H558">
        <v>0.017</v>
      </c>
      <c r="I558">
        <v>0.03510427353019874</v>
      </c>
      <c r="J558" t="s">
        <v>512</v>
      </c>
      <c r="K558" t="s">
        <v>776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0.028729001941528</v>
      </c>
      <c r="R558" t="s">
        <v>781</v>
      </c>
      <c r="S558" t="s">
        <v>793</v>
      </c>
      <c r="T558">
        <v>4026.891768</v>
      </c>
      <c r="U558" s="2">
        <v>44506</v>
      </c>
      <c r="V558" t="s">
        <v>795</v>
      </c>
    </row>
    <row r="559" spans="1:22">
      <c r="A559" s="1" t="s">
        <v>579</v>
      </c>
      <c r="B559">
        <f>HYPERLINK("https://www.suredividend.com/sure-analysis-TSM/","Taiwan Semiconductor Manufacturing")</f>
        <v>0</v>
      </c>
      <c r="C559">
        <v>118.12</v>
      </c>
      <c r="D559">
        <v>72</v>
      </c>
      <c r="E559">
        <v>1.640555555555556</v>
      </c>
      <c r="F559">
        <v>0.01693193362682018</v>
      </c>
      <c r="G559">
        <v>-0.09426362089666496</v>
      </c>
      <c r="H559">
        <v>0.12</v>
      </c>
      <c r="I559">
        <v>0.03392744804712633</v>
      </c>
      <c r="J559" t="s">
        <v>512</v>
      </c>
      <c r="K559" t="s">
        <v>777</v>
      </c>
      <c r="L559">
        <v>4.05</v>
      </c>
      <c r="M559">
        <v>2</v>
      </c>
      <c r="N559">
        <v>0.4938271604938272</v>
      </c>
      <c r="O559">
        <v>7</v>
      </c>
      <c r="P559">
        <v>0.08009875865888949</v>
      </c>
      <c r="Q559">
        <v>0.293635257855109</v>
      </c>
      <c r="R559" t="s">
        <v>779</v>
      </c>
      <c r="S559" t="s">
        <v>785</v>
      </c>
      <c r="T559">
        <v>615535.371359</v>
      </c>
      <c r="U559" s="2">
        <v>44490</v>
      </c>
      <c r="V559" t="s">
        <v>802</v>
      </c>
    </row>
    <row r="560" spans="1:22">
      <c r="A560" s="1" t="s">
        <v>580</v>
      </c>
      <c r="B560">
        <f>HYPERLINK("https://www.suredividend.com/sure-analysis-HMC/","Honda Motor")</f>
        <v>0</v>
      </c>
      <c r="C560">
        <v>29.23</v>
      </c>
      <c r="D560">
        <v>25</v>
      </c>
      <c r="E560">
        <v>1.1692</v>
      </c>
      <c r="F560">
        <v>0.0342114266164899</v>
      </c>
      <c r="G560">
        <v>-0.0307802870577667</v>
      </c>
      <c r="H560">
        <v>0.029</v>
      </c>
      <c r="I560">
        <v>0.03240508676902354</v>
      </c>
      <c r="J560" t="s">
        <v>512</v>
      </c>
      <c r="K560" t="s">
        <v>370</v>
      </c>
      <c r="L560">
        <v>2.93</v>
      </c>
      <c r="M560">
        <v>1</v>
      </c>
      <c r="N560">
        <v>0.341296928327645</v>
      </c>
      <c r="O560">
        <v>0</v>
      </c>
      <c r="P560">
        <v>0.02834672210021361</v>
      </c>
      <c r="Q560">
        <v>0.07443905789048101</v>
      </c>
      <c r="R560" t="s">
        <v>779</v>
      </c>
      <c r="S560" t="s">
        <v>790</v>
      </c>
      <c r="T560">
        <v>52712.567313</v>
      </c>
      <c r="U560" s="2">
        <v>44507</v>
      </c>
      <c r="V560" t="s">
        <v>795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49.13</v>
      </c>
      <c r="D561">
        <v>38</v>
      </c>
      <c r="E561">
        <v>1.292894736842105</v>
      </c>
      <c r="F561">
        <v>0.02035416242621616</v>
      </c>
      <c r="G561">
        <v>-0.05007926745092039</v>
      </c>
      <c r="H561">
        <v>0.06</v>
      </c>
      <c r="I561">
        <v>0.03084926378907493</v>
      </c>
      <c r="J561" t="s">
        <v>512</v>
      </c>
      <c r="K561" t="s">
        <v>512</v>
      </c>
      <c r="L561">
        <v>3.45</v>
      </c>
      <c r="M561">
        <v>1</v>
      </c>
      <c r="N561">
        <v>0.2898550724637681</v>
      </c>
      <c r="O561">
        <v>2</v>
      </c>
      <c r="P561">
        <v>0.08009875865888949</v>
      </c>
      <c r="Q561">
        <v>0.233607496305471</v>
      </c>
      <c r="R561" t="s">
        <v>779</v>
      </c>
      <c r="S561" t="s">
        <v>790</v>
      </c>
      <c r="T561">
        <v>13083.299047</v>
      </c>
      <c r="U561" s="2">
        <v>44435</v>
      </c>
      <c r="V561" t="s">
        <v>802</v>
      </c>
    </row>
    <row r="562" spans="1:22">
      <c r="A562" s="1" t="s">
        <v>582</v>
      </c>
      <c r="B562">
        <f>HYPERLINK("https://www.suredividend.com/sure-analysis-CODI/","Compass Diversified Holdings")</f>
        <v>0</v>
      </c>
      <c r="C562">
        <v>31.55</v>
      </c>
      <c r="D562">
        <v>24</v>
      </c>
      <c r="E562">
        <v>1.314583333333333</v>
      </c>
      <c r="F562">
        <v>0.0456418383518225</v>
      </c>
      <c r="G562">
        <v>-0.05323460527261414</v>
      </c>
      <c r="H562">
        <v>0.04</v>
      </c>
      <c r="I562">
        <v>0.02901004844275801</v>
      </c>
      <c r="J562" t="s">
        <v>512</v>
      </c>
      <c r="K562" t="s">
        <v>370</v>
      </c>
      <c r="L562">
        <v>2.4</v>
      </c>
      <c r="M562">
        <v>1.44</v>
      </c>
      <c r="N562">
        <v>0.6</v>
      </c>
      <c r="O562">
        <v>0</v>
      </c>
      <c r="P562">
        <v>0</v>
      </c>
      <c r="Q562">
        <v>0.7768096011279121</v>
      </c>
      <c r="R562" t="s">
        <v>779</v>
      </c>
      <c r="S562" t="s">
        <v>786</v>
      </c>
      <c r="T562">
        <v>2027.983871</v>
      </c>
      <c r="U562" s="2">
        <v>44504</v>
      </c>
      <c r="V562" t="s">
        <v>797</v>
      </c>
    </row>
    <row r="563" spans="1:22">
      <c r="A563" s="1" t="s">
        <v>583</v>
      </c>
      <c r="B563">
        <f>HYPERLINK("https://www.suredividend.com/sure-analysis-KTB/","Kontoor Brands Inc")</f>
        <v>0</v>
      </c>
      <c r="C563">
        <v>58.81</v>
      </c>
      <c r="D563">
        <v>50</v>
      </c>
      <c r="E563">
        <v>1.1762</v>
      </c>
      <c r="F563">
        <v>0.03128719605509267</v>
      </c>
      <c r="G563">
        <v>-0.03193667998738858</v>
      </c>
      <c r="H563">
        <v>0.03</v>
      </c>
      <c r="I563">
        <v>0.02863465702595169</v>
      </c>
      <c r="J563" t="s">
        <v>512</v>
      </c>
      <c r="K563" t="s">
        <v>512</v>
      </c>
      <c r="L563">
        <v>4.18</v>
      </c>
      <c r="M563">
        <v>1.84</v>
      </c>
      <c r="N563">
        <v>0.4401913875598087</v>
      </c>
      <c r="O563">
        <v>1</v>
      </c>
      <c r="P563">
        <v>0.01984845658885503</v>
      </c>
      <c r="Q563">
        <v>0.614929414669485</v>
      </c>
      <c r="R563" t="s">
        <v>779</v>
      </c>
      <c r="S563" t="s">
        <v>790</v>
      </c>
      <c r="T563">
        <v>3411.535993</v>
      </c>
      <c r="U563" s="2">
        <v>44511</v>
      </c>
      <c r="V563" t="s">
        <v>797</v>
      </c>
    </row>
    <row r="564" spans="1:22">
      <c r="A564" s="1" t="s">
        <v>584</v>
      </c>
      <c r="B564">
        <f>HYPERLINK("https://www.suredividend.com/sure-analysis-SKT/","Tanger Factory Outlet Centers, Inc.")</f>
        <v>0</v>
      </c>
      <c r="C564">
        <v>20.58</v>
      </c>
      <c r="D564">
        <v>18</v>
      </c>
      <c r="E564">
        <v>1.143333333333333</v>
      </c>
      <c r="F564">
        <v>0.03547133138969874</v>
      </c>
      <c r="G564">
        <v>-0.02643393637176272</v>
      </c>
      <c r="H564">
        <v>0.015</v>
      </c>
      <c r="I564">
        <v>0.02390486538456704</v>
      </c>
      <c r="J564" t="s">
        <v>512</v>
      </c>
      <c r="K564" t="s">
        <v>370</v>
      </c>
      <c r="L564">
        <v>1.69</v>
      </c>
      <c r="M564">
        <v>0.73</v>
      </c>
      <c r="N564">
        <v>0.4319526627218935</v>
      </c>
      <c r="O564">
        <v>1</v>
      </c>
      <c r="P564">
        <v>0.01072631497080168</v>
      </c>
      <c r="Q564">
        <v>1.406033038065597</v>
      </c>
      <c r="R564" t="s">
        <v>781</v>
      </c>
      <c r="S564" t="s">
        <v>793</v>
      </c>
      <c r="T564">
        <v>2090.089133</v>
      </c>
      <c r="U564" s="2">
        <v>44511</v>
      </c>
      <c r="V564" t="s">
        <v>801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150.2</v>
      </c>
      <c r="D565">
        <v>99</v>
      </c>
      <c r="E565">
        <v>1.517171717171717</v>
      </c>
      <c r="F565">
        <v>0.01677762982689747</v>
      </c>
      <c r="G565">
        <v>-0.0799889313214508</v>
      </c>
      <c r="H565">
        <v>0.09</v>
      </c>
      <c r="I565">
        <v>0.02299623903221959</v>
      </c>
      <c r="J565" t="s">
        <v>512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0.468979759450986</v>
      </c>
      <c r="R565" t="s">
        <v>781</v>
      </c>
      <c r="S565" t="s">
        <v>793</v>
      </c>
      <c r="T565">
        <v>110019.25087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HYPERLINK("https://www.suredividend.com/sure-analysis-STX/","Seagate Technology Holdings Plc")</f>
        <v>0</v>
      </c>
      <c r="C566">
        <v>105.66</v>
      </c>
      <c r="D566">
        <v>89</v>
      </c>
      <c r="E566">
        <v>1.187191011235955</v>
      </c>
      <c r="F566">
        <v>0.02650009464319515</v>
      </c>
      <c r="G566">
        <v>-0.03373582048670087</v>
      </c>
      <c r="H566">
        <v>0.03</v>
      </c>
      <c r="I566">
        <v>0.02279975674199397</v>
      </c>
      <c r="J566" t="s">
        <v>512</v>
      </c>
      <c r="K566" t="s">
        <v>512</v>
      </c>
      <c r="L566">
        <v>8.9</v>
      </c>
      <c r="M566">
        <v>2.8</v>
      </c>
      <c r="N566">
        <v>0.3146067415730337</v>
      </c>
      <c r="O566">
        <v>3</v>
      </c>
      <c r="P566">
        <v>0.02513307572787737</v>
      </c>
      <c r="Q566">
        <v>0.094821772493362</v>
      </c>
      <c r="R566" t="s">
        <v>779</v>
      </c>
      <c r="S566" t="s">
        <v>785</v>
      </c>
      <c r="T566">
        <v>24071.398373</v>
      </c>
      <c r="U566" s="2">
        <v>44507</v>
      </c>
      <c r="V566" t="s">
        <v>797</v>
      </c>
    </row>
    <row r="567" spans="1:22">
      <c r="A567" s="1" t="s">
        <v>587</v>
      </c>
      <c r="B567">
        <f>HYPERLINK("https://www.suredividend.com/sure-analysis-EGP/","Eastgroup Properties, Inc.")</f>
        <v>0</v>
      </c>
      <c r="C567">
        <v>205.86</v>
      </c>
      <c r="D567">
        <v>145</v>
      </c>
      <c r="E567">
        <v>1.419724137931035</v>
      </c>
      <c r="F567">
        <v>0.01748761294083357</v>
      </c>
      <c r="G567">
        <v>-0.06769243813631531</v>
      </c>
      <c r="H567">
        <v>0.075</v>
      </c>
      <c r="I567">
        <v>0.02270896732042638</v>
      </c>
      <c r="J567" t="s">
        <v>512</v>
      </c>
      <c r="K567" t="s">
        <v>777</v>
      </c>
      <c r="L567">
        <v>6.05</v>
      </c>
      <c r="M567">
        <v>3.6</v>
      </c>
      <c r="N567">
        <v>0.5950413223140496</v>
      </c>
      <c r="O567">
        <v>11</v>
      </c>
      <c r="P567">
        <v>0.07003448782339894</v>
      </c>
      <c r="Q567">
        <v>0.413579314319607</v>
      </c>
      <c r="R567" t="s">
        <v>781</v>
      </c>
      <c r="S567" t="s">
        <v>793</v>
      </c>
      <c r="T567">
        <v>8222.291573</v>
      </c>
      <c r="U567" s="2">
        <v>44500</v>
      </c>
      <c r="V567" t="s">
        <v>794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18.01</v>
      </c>
      <c r="D568">
        <v>16</v>
      </c>
      <c r="E568">
        <v>1.125625</v>
      </c>
      <c r="F568">
        <v>0.02054414214325375</v>
      </c>
      <c r="G568">
        <v>-0.02338980427699822</v>
      </c>
      <c r="H568">
        <v>0.02</v>
      </c>
      <c r="I568">
        <v>0.01860645809909345</v>
      </c>
      <c r="J568" t="s">
        <v>512</v>
      </c>
      <c r="K568" t="s">
        <v>512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0.356394538451162</v>
      </c>
      <c r="R568" t="s">
        <v>779</v>
      </c>
      <c r="S568" t="s">
        <v>789</v>
      </c>
      <c r="T568">
        <v>67013.85621</v>
      </c>
      <c r="U568" s="2">
        <v>44498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8.73</v>
      </c>
      <c r="D569">
        <v>7</v>
      </c>
      <c r="E569">
        <v>1.247142857142857</v>
      </c>
      <c r="F569">
        <v>0.03092783505154639</v>
      </c>
      <c r="G569">
        <v>-0.04320970991446582</v>
      </c>
      <c r="H569">
        <v>0.03</v>
      </c>
      <c r="I569">
        <v>0.01629672760413414</v>
      </c>
      <c r="J569" t="s">
        <v>512</v>
      </c>
      <c r="K569" t="s">
        <v>512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0.134521880064829</v>
      </c>
      <c r="R569" t="s">
        <v>779</v>
      </c>
      <c r="S569" t="s">
        <v>783</v>
      </c>
      <c r="T569">
        <v>6568.82508</v>
      </c>
      <c r="U569" s="2">
        <v>44502</v>
      </c>
      <c r="V569" t="s">
        <v>797</v>
      </c>
    </row>
    <row r="570" spans="1:22">
      <c r="A570" s="1" t="s">
        <v>590</v>
      </c>
      <c r="B570">
        <f>HYPERLINK("https://www.suredividend.com/sure-analysis-MPWR/","Monolithic Power System Inc")</f>
        <v>0</v>
      </c>
      <c r="C570">
        <v>562.96</v>
      </c>
      <c r="D570">
        <v>266</v>
      </c>
      <c r="E570">
        <v>2.116390977443609</v>
      </c>
      <c r="F570">
        <v>0.004263180332528065</v>
      </c>
      <c r="G570">
        <v>-0.1392424916551722</v>
      </c>
      <c r="H570">
        <v>0.17</v>
      </c>
      <c r="I570">
        <v>0.01438014825757694</v>
      </c>
      <c r="J570" t="s">
        <v>512</v>
      </c>
      <c r="K570" t="s">
        <v>777</v>
      </c>
      <c r="L570">
        <v>7.2</v>
      </c>
      <c r="M570">
        <v>2.4</v>
      </c>
      <c r="N570">
        <v>0.3333333333333333</v>
      </c>
      <c r="O570">
        <v>4</v>
      </c>
      <c r="P570">
        <v>0.1999209000665154</v>
      </c>
      <c r="Q570">
        <v>0.8412048113795021</v>
      </c>
      <c r="R570" t="s">
        <v>779</v>
      </c>
      <c r="S570" t="s">
        <v>785</v>
      </c>
      <c r="T570">
        <v>25893.66461</v>
      </c>
      <c r="U570" s="2">
        <v>44500</v>
      </c>
      <c r="V570" t="s">
        <v>794</v>
      </c>
    </row>
    <row r="571" spans="1:22">
      <c r="A571" s="1" t="s">
        <v>591</v>
      </c>
      <c r="B571">
        <f>HYPERLINK("https://www.suredividend.com/sure-analysis-RGA/","Reinsurance Group Of America, Inc.")</f>
        <v>0</v>
      </c>
      <c r="C571">
        <v>112.22</v>
      </c>
      <c r="D571">
        <v>50</v>
      </c>
      <c r="E571">
        <v>2.2444</v>
      </c>
      <c r="F571">
        <v>0.02602031723400463</v>
      </c>
      <c r="G571">
        <v>-0.1492931143881608</v>
      </c>
      <c r="H571">
        <v>0.15</v>
      </c>
      <c r="I571">
        <v>0.01283421926402895</v>
      </c>
      <c r="J571" t="s">
        <v>512</v>
      </c>
      <c r="K571" t="s">
        <v>512</v>
      </c>
      <c r="L571">
        <v>4.2</v>
      </c>
      <c r="M571">
        <v>2.92</v>
      </c>
      <c r="N571">
        <v>0.6952380952380952</v>
      </c>
      <c r="O571">
        <v>11</v>
      </c>
      <c r="P571">
        <v>0.08986498009382693</v>
      </c>
      <c r="Q571">
        <v>0.006246689093436001</v>
      </c>
      <c r="R571" t="s">
        <v>779</v>
      </c>
      <c r="S571" t="s">
        <v>789</v>
      </c>
      <c r="T571">
        <v>7588.792951</v>
      </c>
      <c r="U571" s="2">
        <v>44511</v>
      </c>
      <c r="V571" t="s">
        <v>801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24.64</v>
      </c>
      <c r="D572">
        <v>20</v>
      </c>
      <c r="E572">
        <v>1.232</v>
      </c>
      <c r="F572">
        <v>0.03896103896103896</v>
      </c>
      <c r="G572">
        <v>-0.04086915367215083</v>
      </c>
      <c r="H572">
        <v>0.006</v>
      </c>
      <c r="I572">
        <v>0.01271366278996</v>
      </c>
      <c r="J572" t="s">
        <v>512</v>
      </c>
      <c r="K572" t="s">
        <v>370</v>
      </c>
      <c r="L572">
        <v>1.73</v>
      </c>
      <c r="M572">
        <v>0.96</v>
      </c>
      <c r="N572">
        <v>0.5549132947976878</v>
      </c>
      <c r="O572">
        <v>1</v>
      </c>
      <c r="P572">
        <v>0.054211515856875</v>
      </c>
      <c r="Q572">
        <v>0.674765944595447</v>
      </c>
      <c r="R572" t="s">
        <v>781</v>
      </c>
      <c r="S572" t="s">
        <v>793</v>
      </c>
      <c r="T572">
        <v>7246.518058</v>
      </c>
      <c r="U572" s="2">
        <v>44421</v>
      </c>
      <c r="V572" t="s">
        <v>803</v>
      </c>
    </row>
    <row r="573" spans="1:22">
      <c r="A573" s="1" t="s">
        <v>593</v>
      </c>
      <c r="B573">
        <f>HYPERLINK("https://www.suredividend.com/sure-analysis-TRSWF/","TransAlta Renewables, Inc.")</f>
        <v>0</v>
      </c>
      <c r="C573">
        <v>15.12</v>
      </c>
      <c r="D573">
        <v>11</v>
      </c>
      <c r="E573">
        <v>1.374545454545455</v>
      </c>
      <c r="F573">
        <v>0.05026455026455027</v>
      </c>
      <c r="G573">
        <v>-0.06164282567290624</v>
      </c>
      <c r="H573">
        <v>0.02</v>
      </c>
      <c r="I573">
        <v>0.01218698684109776</v>
      </c>
      <c r="J573" t="s">
        <v>512</v>
      </c>
      <c r="K573" t="s">
        <v>776</v>
      </c>
      <c r="L573">
        <v>0.97</v>
      </c>
      <c r="M573">
        <v>0.76</v>
      </c>
      <c r="N573">
        <v>0.7835051546391752</v>
      </c>
      <c r="O573">
        <v>0</v>
      </c>
      <c r="P573">
        <v>0.01031145931793609</v>
      </c>
      <c r="Q573">
        <v>0.174922600619195</v>
      </c>
      <c r="R573" t="s">
        <v>779</v>
      </c>
      <c r="S573" t="s">
        <v>791</v>
      </c>
      <c r="T573">
        <v>4050.991588</v>
      </c>
      <c r="U573" s="2">
        <v>44419</v>
      </c>
      <c r="V573" t="s">
        <v>801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206.04</v>
      </c>
      <c r="D574">
        <v>140</v>
      </c>
      <c r="E574">
        <v>1.471714285714286</v>
      </c>
      <c r="F574">
        <v>0.0217433508056688</v>
      </c>
      <c r="G574">
        <v>-0.07437452465214045</v>
      </c>
      <c r="H574">
        <v>0.06</v>
      </c>
      <c r="I574">
        <v>0.007736313682417117</v>
      </c>
      <c r="J574" t="s">
        <v>512</v>
      </c>
      <c r="K574" t="s">
        <v>512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0.281758681412971</v>
      </c>
      <c r="R574" t="s">
        <v>781</v>
      </c>
      <c r="S574" t="s">
        <v>793</v>
      </c>
      <c r="T574">
        <v>31852.921526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HYPERLINK("https://www.suredividend.com/sure-analysis-DRE/","Duke Realty Corp")</f>
        <v>0</v>
      </c>
      <c r="C575">
        <v>57.87</v>
      </c>
      <c r="D575">
        <v>38</v>
      </c>
      <c r="E575">
        <v>1.522894736842105</v>
      </c>
      <c r="F575">
        <v>0.01935372386383273</v>
      </c>
      <c r="G575">
        <v>-0.08068145115141823</v>
      </c>
      <c r="H575">
        <v>0.07000000000000001</v>
      </c>
      <c r="I575">
        <v>0.00723052468296248</v>
      </c>
      <c r="J575" t="s">
        <v>512</v>
      </c>
      <c r="K575" t="s">
        <v>777</v>
      </c>
      <c r="L575">
        <v>1.72</v>
      </c>
      <c r="M575">
        <v>1.12</v>
      </c>
      <c r="N575">
        <v>0.6511627906976745</v>
      </c>
      <c r="O575">
        <v>7</v>
      </c>
      <c r="P575">
        <v>0.06016789231717423</v>
      </c>
      <c r="Q575">
        <v>0.454273623394065</v>
      </c>
      <c r="R575" t="s">
        <v>781</v>
      </c>
      <c r="S575" t="s">
        <v>793</v>
      </c>
      <c r="T575">
        <v>21856.998717</v>
      </c>
      <c r="U575" s="2">
        <v>44499</v>
      </c>
      <c r="V575" t="s">
        <v>796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76.09999999999999</v>
      </c>
      <c r="D576">
        <v>51</v>
      </c>
      <c r="E576">
        <v>1.492156862745098</v>
      </c>
      <c r="F576">
        <v>0.02772667542706965</v>
      </c>
      <c r="G576">
        <v>-0.07692475577243618</v>
      </c>
      <c r="H576">
        <v>0.05</v>
      </c>
      <c r="I576">
        <v>0.003196516874884647</v>
      </c>
      <c r="J576" t="s">
        <v>512</v>
      </c>
      <c r="K576" t="s">
        <v>512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0.764856780424892</v>
      </c>
      <c r="R576" t="s">
        <v>779</v>
      </c>
      <c r="S576" t="s">
        <v>789</v>
      </c>
      <c r="T576">
        <v>18490.995355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20.99</v>
      </c>
      <c r="D577">
        <v>15</v>
      </c>
      <c r="E577">
        <v>1.399333333333333</v>
      </c>
      <c r="F577">
        <v>0.02858504049547404</v>
      </c>
      <c r="G577">
        <v>-0.06499105841444142</v>
      </c>
      <c r="H577">
        <v>0.03</v>
      </c>
      <c r="I577">
        <v>0.001863689845502892</v>
      </c>
      <c r="J577" t="s">
        <v>512</v>
      </c>
      <c r="K577" t="s">
        <v>512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1.48104673956685</v>
      </c>
      <c r="R577" t="s">
        <v>781</v>
      </c>
      <c r="S577" t="s">
        <v>793</v>
      </c>
      <c r="T577">
        <v>4475.921237</v>
      </c>
      <c r="U577" s="2">
        <v>44509</v>
      </c>
      <c r="V577" t="s">
        <v>802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83.87</v>
      </c>
      <c r="D578">
        <v>53</v>
      </c>
      <c r="E578">
        <v>1.582452830188679</v>
      </c>
      <c r="F578">
        <v>0.0172886610230118</v>
      </c>
      <c r="G578">
        <v>-0.08770804449650549</v>
      </c>
      <c r="H578">
        <v>0.07000000000000001</v>
      </c>
      <c r="I578">
        <v>-0.001489267816310647</v>
      </c>
      <c r="J578" t="s">
        <v>512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0.378313127311792</v>
      </c>
      <c r="R578" t="s">
        <v>781</v>
      </c>
      <c r="S578" t="s">
        <v>793</v>
      </c>
      <c r="T578">
        <v>15542.498108</v>
      </c>
      <c r="U578" s="2">
        <v>44493</v>
      </c>
      <c r="V578" t="s">
        <v>796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78.33</v>
      </c>
      <c r="D579">
        <v>52</v>
      </c>
      <c r="E579">
        <v>1.506346153846154</v>
      </c>
      <c r="F579">
        <v>0.01378782075833014</v>
      </c>
      <c r="G579">
        <v>-0.07867035917610554</v>
      </c>
      <c r="H579">
        <v>0.06</v>
      </c>
      <c r="I579">
        <v>-0.005879547820402675</v>
      </c>
      <c r="J579" t="s">
        <v>512</v>
      </c>
      <c r="K579" t="s">
        <v>777</v>
      </c>
      <c r="L579">
        <v>3.27</v>
      </c>
      <c r="M579">
        <v>1.08</v>
      </c>
      <c r="N579">
        <v>0.3302752293577982</v>
      </c>
      <c r="O579">
        <v>1</v>
      </c>
      <c r="P579">
        <v>0.06069091570555463</v>
      </c>
      <c r="Q579">
        <v>0.7827953410223031</v>
      </c>
      <c r="R579" t="s">
        <v>779</v>
      </c>
      <c r="S579" t="s">
        <v>786</v>
      </c>
      <c r="T579">
        <v>55695.935881</v>
      </c>
      <c r="U579" s="2">
        <v>44511</v>
      </c>
      <c r="V579" t="s">
        <v>800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32.72</v>
      </c>
      <c r="D580">
        <v>20</v>
      </c>
      <c r="E580">
        <v>1.636</v>
      </c>
      <c r="F580">
        <v>0.01528117359413203</v>
      </c>
      <c r="G580">
        <v>-0.09375976463060942</v>
      </c>
      <c r="H580">
        <v>0.07000000000000001</v>
      </c>
      <c r="I580">
        <v>-0.009950530497941812</v>
      </c>
      <c r="J580" t="s">
        <v>512</v>
      </c>
      <c r="K580" t="s">
        <v>777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0.839137244774795</v>
      </c>
      <c r="R580" t="s">
        <v>779</v>
      </c>
      <c r="S580" t="s">
        <v>792</v>
      </c>
      <c r="T580">
        <v>45950.243517</v>
      </c>
      <c r="U580" s="2">
        <v>44493</v>
      </c>
      <c r="V580" t="s">
        <v>802</v>
      </c>
    </row>
    <row r="581" spans="1:22">
      <c r="A581" s="1" t="s">
        <v>601</v>
      </c>
      <c r="B581">
        <f>HYPERLINK("https://www.suredividend.com/sure-analysis-LXP/","Lexington Realty Trust")</f>
        <v>0</v>
      </c>
      <c r="C581">
        <v>15.18</v>
      </c>
      <c r="D581">
        <v>11</v>
      </c>
      <c r="E581">
        <v>1.38</v>
      </c>
      <c r="F581">
        <v>0.02832674571805006</v>
      </c>
      <c r="G581">
        <v>-0.06238578557100172</v>
      </c>
      <c r="H581">
        <v>0.02</v>
      </c>
      <c r="I581">
        <v>-0.01112041355911508</v>
      </c>
      <c r="J581" t="s">
        <v>512</v>
      </c>
      <c r="K581" t="s">
        <v>512</v>
      </c>
      <c r="L581">
        <v>0.76</v>
      </c>
      <c r="M581">
        <v>0.43</v>
      </c>
      <c r="N581">
        <v>0.5657894736842105</v>
      </c>
      <c r="O581">
        <v>1</v>
      </c>
      <c r="P581">
        <v>0.00913393693363318</v>
      </c>
      <c r="Q581">
        <v>0.4449568173824681</v>
      </c>
      <c r="R581" t="s">
        <v>781</v>
      </c>
      <c r="S581" t="s">
        <v>793</v>
      </c>
      <c r="T581">
        <v>4182.869819</v>
      </c>
      <c r="U581" s="2">
        <v>44425</v>
      </c>
      <c r="V581" t="s">
        <v>801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123.15</v>
      </c>
      <c r="D582">
        <v>72</v>
      </c>
      <c r="E582">
        <v>1.710416666666667</v>
      </c>
      <c r="F582">
        <v>0.006496142915144133</v>
      </c>
      <c r="G582">
        <v>-0.1017864216117987</v>
      </c>
      <c r="H582">
        <v>0.09</v>
      </c>
      <c r="I582">
        <v>-0.0118961341402779</v>
      </c>
      <c r="J582" t="s">
        <v>512</v>
      </c>
      <c r="K582" t="s">
        <v>777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0.5843657257997831</v>
      </c>
      <c r="R582" t="s">
        <v>779</v>
      </c>
      <c r="S582" t="s">
        <v>786</v>
      </c>
      <c r="T582">
        <v>6490.488321</v>
      </c>
      <c r="U582" s="2">
        <v>44501</v>
      </c>
      <c r="V582" t="s">
        <v>801</v>
      </c>
    </row>
    <row r="583" spans="1:22">
      <c r="A583" s="1" t="s">
        <v>603</v>
      </c>
      <c r="B583">
        <f>HYPERLINK("https://www.suredividend.com/sure-analysis-FR/","First Industrial Realty Trust, Inc.")</f>
        <v>0</v>
      </c>
      <c r="C583">
        <v>61.02</v>
      </c>
      <c r="D583">
        <v>36</v>
      </c>
      <c r="E583">
        <v>1.695</v>
      </c>
      <c r="F583">
        <v>0.01769911504424779</v>
      </c>
      <c r="G583">
        <v>-0.1001584153142591</v>
      </c>
      <c r="H583">
        <v>0.07000000000000001</v>
      </c>
      <c r="I583">
        <v>-0.01368189850578272</v>
      </c>
      <c r="J583" t="s">
        <v>512</v>
      </c>
      <c r="K583" t="s">
        <v>777</v>
      </c>
      <c r="L583">
        <v>1.95</v>
      </c>
      <c r="M583">
        <v>1.08</v>
      </c>
      <c r="N583">
        <v>0.5538461538461539</v>
      </c>
      <c r="O583">
        <v>9</v>
      </c>
      <c r="P583">
        <v>0.06069091570555463</v>
      </c>
      <c r="Q583">
        <v>0.444390603703235</v>
      </c>
      <c r="R583" t="s">
        <v>781</v>
      </c>
      <c r="S583" t="s">
        <v>793</v>
      </c>
      <c r="T583">
        <v>7813.743676</v>
      </c>
      <c r="U583" s="2">
        <v>44492</v>
      </c>
      <c r="V583" t="s">
        <v>796</v>
      </c>
    </row>
    <row r="584" spans="1:22">
      <c r="A584" s="1" t="s">
        <v>604</v>
      </c>
      <c r="B584">
        <f>HYPERLINK("https://www.suredividend.com/sure-analysis-CNQ/","Canadian Natural Resources Ltd.")</f>
        <v>0</v>
      </c>
      <c r="C584">
        <v>41.74</v>
      </c>
      <c r="D584">
        <v>40</v>
      </c>
      <c r="E584">
        <v>1.0435</v>
      </c>
      <c r="F584">
        <v>0.03641590800191662</v>
      </c>
      <c r="G584">
        <v>-0.008479930334497454</v>
      </c>
      <c r="H584">
        <v>-0.05</v>
      </c>
      <c r="I584">
        <v>-0.01455460868367753</v>
      </c>
      <c r="J584" t="s">
        <v>512</v>
      </c>
      <c r="K584" t="s">
        <v>370</v>
      </c>
      <c r="L584">
        <v>3.3</v>
      </c>
      <c r="M584">
        <v>1.52</v>
      </c>
      <c r="N584">
        <v>0.4606060606060606</v>
      </c>
      <c r="O584">
        <v>5</v>
      </c>
      <c r="P584">
        <v>0.01031145931793609</v>
      </c>
      <c r="Q584">
        <v>1.163620893948647</v>
      </c>
      <c r="R584" t="s">
        <v>779</v>
      </c>
      <c r="S584" t="s">
        <v>792</v>
      </c>
      <c r="T584">
        <v>48827.017865</v>
      </c>
      <c r="U584" s="2">
        <v>44439</v>
      </c>
      <c r="V584" t="s">
        <v>802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172.51</v>
      </c>
      <c r="D585">
        <v>106</v>
      </c>
      <c r="E585">
        <v>1.627452830188679</v>
      </c>
      <c r="F585">
        <v>0.02944756825691264</v>
      </c>
      <c r="G585">
        <v>-0.09280986695297921</v>
      </c>
      <c r="H585">
        <v>0.046</v>
      </c>
      <c r="I585">
        <v>-0.01571404863641368</v>
      </c>
      <c r="J585" t="s">
        <v>512</v>
      </c>
      <c r="K585" t="s">
        <v>512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0.343316077217088</v>
      </c>
      <c r="R585" t="s">
        <v>781</v>
      </c>
      <c r="S585" t="s">
        <v>793</v>
      </c>
      <c r="T585">
        <v>7362.898341</v>
      </c>
      <c r="U585" s="2">
        <v>44503</v>
      </c>
      <c r="V585" t="s">
        <v>804</v>
      </c>
    </row>
    <row r="586" spans="1:22">
      <c r="A586" s="1" t="s">
        <v>606</v>
      </c>
      <c r="B586">
        <f>HYPERLINK("https://www.suredividend.com/sure-analysis-EXC/","Exelon Corp.")</f>
        <v>0</v>
      </c>
      <c r="C586">
        <v>54.77</v>
      </c>
      <c r="D586">
        <v>38</v>
      </c>
      <c r="E586">
        <v>1.441315789473684</v>
      </c>
      <c r="F586">
        <v>0.02793500091290852</v>
      </c>
      <c r="G586">
        <v>-0.07050261746200381</v>
      </c>
      <c r="H586">
        <v>0.02</v>
      </c>
      <c r="I586">
        <v>-0.01774992256744556</v>
      </c>
      <c r="J586" t="s">
        <v>512</v>
      </c>
      <c r="K586" t="s">
        <v>512</v>
      </c>
      <c r="L586">
        <v>2.8</v>
      </c>
      <c r="M586">
        <v>1.53</v>
      </c>
      <c r="N586">
        <v>0.5464285714285715</v>
      </c>
      <c r="O586">
        <v>5</v>
      </c>
      <c r="P586">
        <v>0.02009132612636422</v>
      </c>
      <c r="Q586">
        <v>0.311652489246378</v>
      </c>
      <c r="R586" t="s">
        <v>779</v>
      </c>
      <c r="S586" t="s">
        <v>791</v>
      </c>
      <c r="T586">
        <v>53194.096704</v>
      </c>
      <c r="U586" s="2">
        <v>44504</v>
      </c>
      <c r="V586" t="s">
        <v>795</v>
      </c>
    </row>
    <row r="587" spans="1:22">
      <c r="A587" s="1" t="s">
        <v>607</v>
      </c>
      <c r="B587">
        <f>HYPERLINK("https://www.suredividend.com/sure-analysis-OGZPY/","Gazprom")</f>
        <v>0</v>
      </c>
      <c r="C587">
        <v>9.32</v>
      </c>
      <c r="D587">
        <v>4.25</v>
      </c>
      <c r="E587">
        <v>2.192941176470588</v>
      </c>
      <c r="F587">
        <v>0.03648068669527897</v>
      </c>
      <c r="G587">
        <v>-0.145337589171769</v>
      </c>
      <c r="H587">
        <v>0.08</v>
      </c>
      <c r="I587">
        <v>-0.02057105009239946</v>
      </c>
      <c r="J587" t="s">
        <v>512</v>
      </c>
      <c r="K587" t="s">
        <v>370</v>
      </c>
      <c r="L587">
        <v>0.85</v>
      </c>
      <c r="M587">
        <v>0.34</v>
      </c>
      <c r="N587">
        <v>0.4</v>
      </c>
      <c r="O587">
        <v>0</v>
      </c>
      <c r="P587">
        <v>0.0801851873035635</v>
      </c>
      <c r="Q587">
        <v>0.9698275862068961</v>
      </c>
      <c r="R587" t="s">
        <v>779</v>
      </c>
      <c r="S587" t="s">
        <v>792</v>
      </c>
      <c r="T587">
        <v>108187.953953</v>
      </c>
      <c r="U587" s="2">
        <v>44442</v>
      </c>
      <c r="V587" t="s">
        <v>802</v>
      </c>
    </row>
    <row r="588" spans="1:22">
      <c r="A588" s="1" t="s">
        <v>608</v>
      </c>
      <c r="B588">
        <f>HYPERLINK("https://www.suredividend.com/sure-analysis-CF/","CF Industries Holdings Inc")</f>
        <v>0</v>
      </c>
      <c r="C588">
        <v>65.55</v>
      </c>
      <c r="D588">
        <v>53</v>
      </c>
      <c r="E588">
        <v>1.236792452830189</v>
      </c>
      <c r="F588">
        <v>0.01830663615560641</v>
      </c>
      <c r="G588">
        <v>-0.04161361657307538</v>
      </c>
      <c r="H588">
        <v>0</v>
      </c>
      <c r="I588">
        <v>-0.02083504106016454</v>
      </c>
      <c r="J588" t="s">
        <v>512</v>
      </c>
      <c r="K588" t="s">
        <v>512</v>
      </c>
      <c r="L588">
        <v>4.3</v>
      </c>
      <c r="M588">
        <v>1.2</v>
      </c>
      <c r="N588">
        <v>0.2790697674418605</v>
      </c>
      <c r="O588">
        <v>0</v>
      </c>
      <c r="P588">
        <v>0</v>
      </c>
      <c r="Q588">
        <v>1.139872144544933</v>
      </c>
      <c r="R588" t="s">
        <v>779</v>
      </c>
      <c r="S588" t="s">
        <v>787</v>
      </c>
      <c r="T588">
        <v>13848.679161</v>
      </c>
      <c r="U588" s="2">
        <v>44427</v>
      </c>
      <c r="V588" t="s">
        <v>798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55.14</v>
      </c>
      <c r="D589">
        <v>36</v>
      </c>
      <c r="E589">
        <v>1.531666666666667</v>
      </c>
      <c r="F589">
        <v>0.02538991657598839</v>
      </c>
      <c r="G589">
        <v>-0.08173686814650105</v>
      </c>
      <c r="H589">
        <v>0.03</v>
      </c>
      <c r="I589">
        <v>-0.02204949658634769</v>
      </c>
      <c r="J589" t="s">
        <v>512</v>
      </c>
      <c r="K589" t="s">
        <v>512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1.66923974420196</v>
      </c>
      <c r="R589" t="s">
        <v>779</v>
      </c>
      <c r="S589" t="s">
        <v>792</v>
      </c>
      <c r="T589">
        <v>12414.847201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40</v>
      </c>
      <c r="D590">
        <v>29</v>
      </c>
      <c r="E590">
        <v>1.379310344827586</v>
      </c>
      <c r="F590">
        <v>0.01</v>
      </c>
      <c r="G590">
        <v>-0.06229204289621937</v>
      </c>
      <c r="H590">
        <v>0.03</v>
      </c>
      <c r="I590">
        <v>-0.02293328261631533</v>
      </c>
      <c r="J590" t="s">
        <v>512</v>
      </c>
      <c r="K590" t="s">
        <v>777</v>
      </c>
      <c r="L590">
        <v>1.36</v>
      </c>
      <c r="M590">
        <v>0.4</v>
      </c>
      <c r="N590">
        <v>0.2941176470588235</v>
      </c>
      <c r="O590">
        <v>1</v>
      </c>
      <c r="P590">
        <v>0</v>
      </c>
      <c r="Q590">
        <v>0.33178575359462</v>
      </c>
      <c r="R590" t="s">
        <v>781</v>
      </c>
      <c r="S590" t="s">
        <v>793</v>
      </c>
      <c r="T590">
        <v>13327.059081</v>
      </c>
      <c r="U590" s="2">
        <v>44506</v>
      </c>
      <c r="V590" t="s">
        <v>795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206.1</v>
      </c>
      <c r="D591">
        <v>118</v>
      </c>
      <c r="E591">
        <v>1.746610169491525</v>
      </c>
      <c r="F591">
        <v>0.01989325570111596</v>
      </c>
      <c r="G591">
        <v>-0.1055402486003846</v>
      </c>
      <c r="H591">
        <v>0.06</v>
      </c>
      <c r="I591">
        <v>-0.02498676816781731</v>
      </c>
      <c r="J591" t="s">
        <v>512</v>
      </c>
      <c r="K591" t="s">
        <v>777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0.590020650726652</v>
      </c>
      <c r="R591" t="s">
        <v>781</v>
      </c>
      <c r="S591" t="s">
        <v>793</v>
      </c>
      <c r="T591">
        <v>23607.961748</v>
      </c>
      <c r="U591" s="2">
        <v>44509</v>
      </c>
      <c r="V591" t="s">
        <v>802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226.68</v>
      </c>
      <c r="D592">
        <v>133</v>
      </c>
      <c r="E592">
        <v>1.704360902255639</v>
      </c>
      <c r="F592">
        <v>0.01588141874007411</v>
      </c>
      <c r="G592">
        <v>-0.1011490383434392</v>
      </c>
      <c r="H592">
        <v>0.054</v>
      </c>
      <c r="I592">
        <v>-0.03134623579769968</v>
      </c>
      <c r="J592" t="s">
        <v>512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0.398367855636943</v>
      </c>
      <c r="R592" t="s">
        <v>779</v>
      </c>
      <c r="S592" t="s">
        <v>789</v>
      </c>
      <c r="T592">
        <v>80810.2286</v>
      </c>
      <c r="U592" s="2">
        <v>44503</v>
      </c>
      <c r="V592" t="s">
        <v>804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368.45</v>
      </c>
      <c r="D593">
        <v>201</v>
      </c>
      <c r="E593">
        <v>1.833084577114428</v>
      </c>
      <c r="F593">
        <v>0.01053060116705116</v>
      </c>
      <c r="G593">
        <v>-0.1141432488184949</v>
      </c>
      <c r="H593">
        <v>0.075</v>
      </c>
      <c r="I593">
        <v>-0.03200612982114748</v>
      </c>
      <c r="J593" t="s">
        <v>512</v>
      </c>
      <c r="K593" t="s">
        <v>777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0.5543822332389831</v>
      </c>
      <c r="R593" t="s">
        <v>779</v>
      </c>
      <c r="S593" t="s">
        <v>785</v>
      </c>
      <c r="T593">
        <v>243801.399388</v>
      </c>
      <c r="U593" s="2">
        <v>44476</v>
      </c>
      <c r="V593" t="s">
        <v>797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45.07</v>
      </c>
      <c r="D594">
        <v>42</v>
      </c>
      <c r="E594">
        <v>1.073095238095238</v>
      </c>
      <c r="F594">
        <v>0.01331262480585755</v>
      </c>
      <c r="G594">
        <v>-0.01401037197952226</v>
      </c>
      <c r="H594">
        <v>-0.04</v>
      </c>
      <c r="I594">
        <v>-0.03650146579485769</v>
      </c>
      <c r="J594" t="s">
        <v>512</v>
      </c>
      <c r="K594" t="s">
        <v>777</v>
      </c>
      <c r="L594">
        <v>1.5</v>
      </c>
      <c r="M594">
        <v>0.6</v>
      </c>
      <c r="N594">
        <v>0.4</v>
      </c>
      <c r="O594">
        <v>2</v>
      </c>
      <c r="P594">
        <v>0.01924487649145656</v>
      </c>
      <c r="Q594">
        <v>-0.006193737616425001</v>
      </c>
      <c r="R594" t="s">
        <v>779</v>
      </c>
      <c r="S594" t="s">
        <v>787</v>
      </c>
      <c r="T594">
        <v>20088.121042</v>
      </c>
      <c r="U594" s="2">
        <v>44428</v>
      </c>
      <c r="V594" t="s">
        <v>798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37.9</v>
      </c>
      <c r="D595">
        <v>20</v>
      </c>
      <c r="E595">
        <v>1.895</v>
      </c>
      <c r="F595">
        <v>0.03535620052770449</v>
      </c>
      <c r="G595">
        <v>-0.1200091486057985</v>
      </c>
      <c r="H595">
        <v>0.03</v>
      </c>
      <c r="I595">
        <v>-0.03964731081133832</v>
      </c>
      <c r="J595" t="s">
        <v>512</v>
      </c>
      <c r="K595" t="s">
        <v>370</v>
      </c>
      <c r="L595">
        <v>2.71</v>
      </c>
      <c r="M595">
        <v>1.34</v>
      </c>
      <c r="N595">
        <v>0.4944649446494465</v>
      </c>
      <c r="O595">
        <v>1</v>
      </c>
      <c r="P595">
        <v>0.04997331683701267</v>
      </c>
      <c r="Q595">
        <v>0.310790539877472</v>
      </c>
      <c r="R595" t="s">
        <v>779</v>
      </c>
      <c r="S595" t="s">
        <v>791</v>
      </c>
      <c r="T595">
        <v>4264.979266</v>
      </c>
      <c r="U595" s="2">
        <v>44414</v>
      </c>
      <c r="V595" t="s">
        <v>801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167.93</v>
      </c>
      <c r="D596">
        <v>97</v>
      </c>
      <c r="E596">
        <v>1.731237113402062</v>
      </c>
      <c r="F596">
        <v>0.01977014232120526</v>
      </c>
      <c r="G596">
        <v>-0.1039573345764746</v>
      </c>
      <c r="H596">
        <v>0.04</v>
      </c>
      <c r="I596">
        <v>-0.04029000951059314</v>
      </c>
      <c r="J596" t="s">
        <v>512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0.698140093225994</v>
      </c>
      <c r="R596" t="s">
        <v>781</v>
      </c>
      <c r="S596" t="s">
        <v>793</v>
      </c>
      <c r="T596">
        <v>16928.979929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172.74</v>
      </c>
      <c r="D597">
        <v>100</v>
      </c>
      <c r="E597">
        <v>1.7274</v>
      </c>
      <c r="F597">
        <v>0.01759870325344448</v>
      </c>
      <c r="G597">
        <v>-0.1035596077698177</v>
      </c>
      <c r="H597">
        <v>0.04</v>
      </c>
      <c r="I597">
        <v>-0.04352966982930517</v>
      </c>
      <c r="J597" t="s">
        <v>512</v>
      </c>
      <c r="K597" t="s">
        <v>777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0.5308668377530651</v>
      </c>
      <c r="R597" t="s">
        <v>779</v>
      </c>
      <c r="S597" t="s">
        <v>786</v>
      </c>
      <c r="T597">
        <v>68479.48</v>
      </c>
      <c r="U597" s="2">
        <v>44502</v>
      </c>
      <c r="V597" t="s">
        <v>795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23.87</v>
      </c>
      <c r="D598">
        <v>12.6</v>
      </c>
      <c r="E598">
        <v>1.894444444444445</v>
      </c>
      <c r="F598">
        <v>0.0284876413908672</v>
      </c>
      <c r="G598">
        <v>-0.1199575422923193</v>
      </c>
      <c r="H598">
        <v>0.035</v>
      </c>
      <c r="I598">
        <v>-0.04460884438092982</v>
      </c>
      <c r="J598" t="s">
        <v>512</v>
      </c>
      <c r="K598" t="s">
        <v>512</v>
      </c>
      <c r="L598">
        <v>1.26</v>
      </c>
      <c r="M598">
        <v>0.68</v>
      </c>
      <c r="N598">
        <v>0.5396825396825398</v>
      </c>
      <c r="O598">
        <v>0</v>
      </c>
      <c r="P598">
        <v>0.0576615571948691</v>
      </c>
      <c r="Q598">
        <v>0.714244101369065</v>
      </c>
      <c r="R598" t="s">
        <v>781</v>
      </c>
      <c r="S598" t="s">
        <v>793</v>
      </c>
      <c r="T598">
        <v>14510.716485</v>
      </c>
      <c r="U598" s="2">
        <v>44509</v>
      </c>
      <c r="V598" t="s">
        <v>804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38.45</v>
      </c>
      <c r="D599">
        <v>20</v>
      </c>
      <c r="E599">
        <v>1.9225</v>
      </c>
      <c r="F599">
        <v>0.01560468140442133</v>
      </c>
      <c r="G599">
        <v>-0.1225412071672637</v>
      </c>
      <c r="H599">
        <v>0.05</v>
      </c>
      <c r="I599">
        <v>-0.05796338350508146</v>
      </c>
      <c r="J599" t="s">
        <v>512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0.7371132630216061</v>
      </c>
      <c r="R599" t="s">
        <v>779</v>
      </c>
      <c r="S599" t="s">
        <v>783</v>
      </c>
      <c r="T599">
        <v>1265.606716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4.47</v>
      </c>
      <c r="D600">
        <v>6.3</v>
      </c>
      <c r="E600">
        <v>0.7095238095238096</v>
      </c>
      <c r="F600">
        <v>0.1073825503355705</v>
      </c>
      <c r="G600">
        <v>0.07104225552005272</v>
      </c>
      <c r="H600">
        <v>0.02</v>
      </c>
      <c r="I600">
        <v>0.1591878940474765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0.182260878622952</v>
      </c>
      <c r="R600" t="s">
        <v>779</v>
      </c>
      <c r="S600" t="s">
        <v>783</v>
      </c>
      <c r="T600">
        <v>25596.762922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48.23</v>
      </c>
      <c r="D601">
        <v>77</v>
      </c>
      <c r="E601">
        <v>0.6263636363636363</v>
      </c>
      <c r="F601">
        <v>0.09330292349160274</v>
      </c>
      <c r="G601">
        <v>0.0980817979717199</v>
      </c>
      <c r="H601">
        <v>0</v>
      </c>
      <c r="I601">
        <v>0.1579147609836864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0.165669140531481</v>
      </c>
      <c r="R601" t="s">
        <v>779</v>
      </c>
      <c r="S601" t="s">
        <v>792</v>
      </c>
      <c r="T601">
        <v>12422.493254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HYPERLINK("https://www.suredividend.com/sure-analysis-OHI/","Omega Healthcare Investors, Inc.")</f>
        <v>0</v>
      </c>
      <c r="C602">
        <v>28.53</v>
      </c>
      <c r="D602">
        <v>40</v>
      </c>
      <c r="E602">
        <v>0.7132500000000001</v>
      </c>
      <c r="F602">
        <v>0.09393620750087628</v>
      </c>
      <c r="G602">
        <v>0.06992083288401418</v>
      </c>
      <c r="H602">
        <v>0.02</v>
      </c>
      <c r="I602">
        <v>0.152380387171382</v>
      </c>
      <c r="J602" t="s">
        <v>777</v>
      </c>
      <c r="K602" t="s">
        <v>776</v>
      </c>
      <c r="L602">
        <v>3.3</v>
      </c>
      <c r="M602">
        <v>2.68</v>
      </c>
      <c r="N602">
        <v>0.8121212121212122</v>
      </c>
      <c r="O602">
        <v>18</v>
      </c>
      <c r="P602">
        <v>0.01023605168466424</v>
      </c>
      <c r="Q602">
        <v>-0.121667670096665</v>
      </c>
      <c r="R602" t="s">
        <v>781</v>
      </c>
      <c r="S602" t="s">
        <v>793</v>
      </c>
      <c r="T602">
        <v>6868.116266</v>
      </c>
      <c r="U602" s="2">
        <v>44424</v>
      </c>
      <c r="V602" t="s">
        <v>798</v>
      </c>
    </row>
    <row r="603" spans="1:22">
      <c r="A603" s="1" t="s">
        <v>623</v>
      </c>
      <c r="B603">
        <f>HYPERLINK("https://www.suredividend.com/sure-analysis-APAM/","Artisan Partners Asset Management Inc")</f>
        <v>0</v>
      </c>
      <c r="C603">
        <v>50.02</v>
      </c>
      <c r="D603">
        <v>61</v>
      </c>
      <c r="E603">
        <v>0.8200000000000001</v>
      </c>
      <c r="F603">
        <v>0.07996801279488204</v>
      </c>
      <c r="G603">
        <v>0.04048836820440749</v>
      </c>
      <c r="H603">
        <v>0.05</v>
      </c>
      <c r="I603">
        <v>0.1479975207037414</v>
      </c>
      <c r="J603" t="s">
        <v>777</v>
      </c>
      <c r="K603" t="s">
        <v>370</v>
      </c>
      <c r="L603">
        <v>5.1</v>
      </c>
      <c r="M603">
        <v>4</v>
      </c>
      <c r="N603">
        <v>0.7843137254901962</v>
      </c>
      <c r="O603">
        <v>2</v>
      </c>
      <c r="P603">
        <v>0.03012896281839894</v>
      </c>
      <c r="Q603">
        <v>0.210527562599199</v>
      </c>
      <c r="R603" t="s">
        <v>779</v>
      </c>
      <c r="S603" t="s">
        <v>789</v>
      </c>
      <c r="T603">
        <v>3332.53203</v>
      </c>
      <c r="U603" s="2">
        <v>44424</v>
      </c>
      <c r="V603" t="s">
        <v>798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60.79</v>
      </c>
      <c r="D604">
        <v>80</v>
      </c>
      <c r="E604">
        <v>0.759875</v>
      </c>
      <c r="F604">
        <v>0.05264023688106597</v>
      </c>
      <c r="G604">
        <v>0.05645637644006296</v>
      </c>
      <c r="H604">
        <v>0.05</v>
      </c>
      <c r="I604">
        <v>0.1469490988504263</v>
      </c>
      <c r="J604" t="s">
        <v>777</v>
      </c>
      <c r="K604" t="s">
        <v>370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0.204284987120359</v>
      </c>
      <c r="R604" t="s">
        <v>779</v>
      </c>
      <c r="S604" t="s">
        <v>787</v>
      </c>
      <c r="T604">
        <v>48286.656062</v>
      </c>
      <c r="U604" s="2">
        <v>44498</v>
      </c>
      <c r="V604" t="s">
        <v>801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11.22</v>
      </c>
      <c r="D605">
        <v>15</v>
      </c>
      <c r="E605">
        <v>0.748</v>
      </c>
      <c r="F605">
        <v>0.09625668449197861</v>
      </c>
      <c r="G605">
        <v>0.05978966607306524</v>
      </c>
      <c r="H605">
        <v>0.02</v>
      </c>
      <c r="I605">
        <v>0.1456095266861439</v>
      </c>
      <c r="J605" t="s">
        <v>777</v>
      </c>
      <c r="K605" t="s">
        <v>776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-0.000318764610044</v>
      </c>
      <c r="R605" t="s">
        <v>779</v>
      </c>
      <c r="S605" t="s">
        <v>783</v>
      </c>
      <c r="T605">
        <v>30023.877292</v>
      </c>
      <c r="U605" s="2">
        <v>44496</v>
      </c>
      <c r="V605" t="s">
        <v>805</v>
      </c>
    </row>
    <row r="606" spans="1:22">
      <c r="A606" s="1" t="s">
        <v>626</v>
      </c>
      <c r="B606">
        <f>HYPERLINK("https://www.suredividend.com/sure-analysis-CLPR/","Clipper Realty Inc")</f>
        <v>0</v>
      </c>
      <c r="C606">
        <v>8.99</v>
      </c>
      <c r="D606">
        <v>11.7</v>
      </c>
      <c r="E606">
        <v>0.7683760683760684</v>
      </c>
      <c r="F606">
        <v>0.04226918798665184</v>
      </c>
      <c r="G606">
        <v>0.05410830253015675</v>
      </c>
      <c r="H606">
        <v>0.055</v>
      </c>
      <c r="I606">
        <v>0.1384408549680944</v>
      </c>
      <c r="J606" t="s">
        <v>777</v>
      </c>
      <c r="K606" t="s">
        <v>512</v>
      </c>
      <c r="L606">
        <v>0.35</v>
      </c>
      <c r="M606">
        <v>0.38</v>
      </c>
      <c r="N606">
        <v>1.085714285714286</v>
      </c>
      <c r="O606">
        <v>0</v>
      </c>
      <c r="P606">
        <v>0</v>
      </c>
      <c r="Q606">
        <v>0.68779494771907</v>
      </c>
      <c r="R606" t="s">
        <v>781</v>
      </c>
      <c r="S606" t="s">
        <v>793</v>
      </c>
      <c r="T606">
        <v>146.496639</v>
      </c>
      <c r="U606" s="2">
        <v>44511</v>
      </c>
      <c r="V606" t="s">
        <v>804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286.21</v>
      </c>
      <c r="D607">
        <v>158</v>
      </c>
      <c r="E607">
        <v>1.811455696202531</v>
      </c>
      <c r="F607">
        <v>0.02096362810523741</v>
      </c>
      <c r="G607">
        <v>-0.1120378447121203</v>
      </c>
      <c r="H607">
        <v>0.25</v>
      </c>
      <c r="I607">
        <v>0.1335917657472014</v>
      </c>
      <c r="J607" t="s">
        <v>777</v>
      </c>
      <c r="K607" t="s">
        <v>777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0.8856278219150261</v>
      </c>
      <c r="R607" t="s">
        <v>781</v>
      </c>
      <c r="S607" t="s">
        <v>793</v>
      </c>
      <c r="T607">
        <v>6688.439534</v>
      </c>
      <c r="U607" s="2">
        <v>44509</v>
      </c>
      <c r="V607" t="s">
        <v>794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38.96</v>
      </c>
      <c r="D608">
        <v>44</v>
      </c>
      <c r="E608">
        <v>0.8854545454545455</v>
      </c>
      <c r="F608">
        <v>0.08983572895277207</v>
      </c>
      <c r="G608">
        <v>0.02462924097030861</v>
      </c>
      <c r="H608">
        <v>0.04</v>
      </c>
      <c r="I608">
        <v>0.1276333423555847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0.7346897234900051</v>
      </c>
      <c r="R608" t="s">
        <v>780</v>
      </c>
      <c r="S608" t="s">
        <v>792</v>
      </c>
      <c r="T608">
        <v>8756.844599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3.48</v>
      </c>
      <c r="D609">
        <v>3.5</v>
      </c>
      <c r="E609">
        <v>0.9942857142857143</v>
      </c>
      <c r="F609">
        <v>0.1149425287356322</v>
      </c>
      <c r="G609">
        <v>0.001146792005453312</v>
      </c>
      <c r="H609">
        <v>0.042</v>
      </c>
      <c r="I609">
        <v>0.1260140845900857</v>
      </c>
      <c r="J609" t="s">
        <v>777</v>
      </c>
      <c r="K609" t="s">
        <v>370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0.244857807190126</v>
      </c>
      <c r="R609" t="s">
        <v>782</v>
      </c>
      <c r="S609" t="s">
        <v>789</v>
      </c>
      <c r="T609">
        <v>93.631725</v>
      </c>
      <c r="U609" s="2">
        <v>44509</v>
      </c>
      <c r="V609" t="s">
        <v>804</v>
      </c>
    </row>
    <row r="610" spans="1:22">
      <c r="A610" s="1" t="s">
        <v>630</v>
      </c>
      <c r="B610">
        <f>HYPERLINK("https://www.suredividend.com/sure-analysis-IEP/","Icahn Enterprises L P")</f>
        <v>0</v>
      </c>
      <c r="C610">
        <v>54.51</v>
      </c>
      <c r="D610">
        <v>57</v>
      </c>
      <c r="E610">
        <v>0.9563157894736842</v>
      </c>
      <c r="F610">
        <v>0.1467620620069712</v>
      </c>
      <c r="G610">
        <v>0.008973441431561202</v>
      </c>
      <c r="H610">
        <v>0</v>
      </c>
      <c r="I610">
        <v>0.1221711790766236</v>
      </c>
      <c r="J610" t="s">
        <v>777</v>
      </c>
      <c r="K610" t="s">
        <v>370</v>
      </c>
      <c r="L610">
        <v>8</v>
      </c>
      <c r="M610">
        <v>8</v>
      </c>
      <c r="N610">
        <v>1</v>
      </c>
      <c r="O610">
        <v>0</v>
      </c>
      <c r="P610">
        <v>0</v>
      </c>
      <c r="Q610">
        <v>0.274535421007613</v>
      </c>
      <c r="R610" t="s">
        <v>780</v>
      </c>
      <c r="S610" t="s">
        <v>786</v>
      </c>
      <c r="T610">
        <v>15900.019195</v>
      </c>
      <c r="U610" s="2">
        <v>44513</v>
      </c>
      <c r="V610" t="s">
        <v>794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6.08</v>
      </c>
      <c r="D611">
        <v>6</v>
      </c>
      <c r="E611">
        <v>1.013333333333333</v>
      </c>
      <c r="F611">
        <v>0.02138157894736842</v>
      </c>
      <c r="G611">
        <v>-0.002645539725573576</v>
      </c>
      <c r="H611">
        <v>0.1</v>
      </c>
      <c r="I611">
        <v>0.1200512233695119</v>
      </c>
      <c r="J611" t="s">
        <v>777</v>
      </c>
      <c r="K611" t="s">
        <v>777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0.258844989676669</v>
      </c>
      <c r="R611" t="s">
        <v>779</v>
      </c>
      <c r="S611" t="s">
        <v>792</v>
      </c>
      <c r="T611">
        <v>1072.6135</v>
      </c>
      <c r="U611" s="2">
        <v>44509</v>
      </c>
      <c r="V611" t="s">
        <v>802</v>
      </c>
    </row>
    <row r="612" spans="1:22">
      <c r="A612" s="1" t="s">
        <v>632</v>
      </c>
      <c r="B612">
        <f>HYPERLINK("https://www.suredividend.com/sure-analysis-SU/","Suncor Energy, Inc.")</f>
        <v>0</v>
      </c>
      <c r="C612">
        <v>25.93</v>
      </c>
      <c r="D612">
        <v>29</v>
      </c>
      <c r="E612">
        <v>0.8941379310344828</v>
      </c>
      <c r="F612">
        <v>0.05244890088700348</v>
      </c>
      <c r="G612">
        <v>0.0226313354222818</v>
      </c>
      <c r="H612">
        <v>0.05</v>
      </c>
      <c r="I612">
        <v>0.1161364660094797</v>
      </c>
      <c r="J612" t="s">
        <v>777</v>
      </c>
      <c r="K612" t="s">
        <v>512</v>
      </c>
      <c r="L612">
        <v>1.36</v>
      </c>
      <c r="M612">
        <v>1.36</v>
      </c>
      <c r="N612">
        <v>1</v>
      </c>
      <c r="O612">
        <v>1</v>
      </c>
      <c r="P612">
        <v>0.0505145404837426</v>
      </c>
      <c r="Q612">
        <v>0.9172537961922751</v>
      </c>
      <c r="R612" t="s">
        <v>779</v>
      </c>
      <c r="S612" t="s">
        <v>792</v>
      </c>
      <c r="T612">
        <v>37699.099938</v>
      </c>
      <c r="U612" s="2">
        <v>44502</v>
      </c>
      <c r="V612" t="s">
        <v>802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19.05</v>
      </c>
      <c r="D613">
        <v>18.88</v>
      </c>
      <c r="E613">
        <v>1.009004237288136</v>
      </c>
      <c r="F613">
        <v>0.05354330708661417</v>
      </c>
      <c r="G613">
        <v>-0.001791182086291254</v>
      </c>
      <c r="H613">
        <v>0.07000000000000001</v>
      </c>
      <c r="I613">
        <v>0.1144900445489478</v>
      </c>
      <c r="J613" t="s">
        <v>777</v>
      </c>
      <c r="K613" t="s">
        <v>370</v>
      </c>
      <c r="L613">
        <v>1.51</v>
      </c>
      <c r="M613">
        <v>1.02</v>
      </c>
      <c r="N613">
        <v>0.6754966887417219</v>
      </c>
      <c r="O613">
        <v>2</v>
      </c>
      <c r="P613">
        <v>0.06990981876632385</v>
      </c>
      <c r="Q613">
        <v>0.282844958040996</v>
      </c>
      <c r="R613" t="s">
        <v>781</v>
      </c>
      <c r="S613" t="s">
        <v>793</v>
      </c>
      <c r="T613">
        <v>210.803598</v>
      </c>
      <c r="U613" s="2">
        <v>44494</v>
      </c>
      <c r="V613" t="s">
        <v>794</v>
      </c>
    </row>
    <row r="614" spans="1:22">
      <c r="A614" s="1" t="s">
        <v>634</v>
      </c>
      <c r="B614">
        <f>HYPERLINK("https://www.suredividend.com/sure-analysis-VICI/","VICI Properties Inc")</f>
        <v>0</v>
      </c>
      <c r="C614">
        <v>29.56</v>
      </c>
      <c r="D614">
        <v>31</v>
      </c>
      <c r="E614">
        <v>0.9535483870967741</v>
      </c>
      <c r="F614">
        <v>0.04871447902571042</v>
      </c>
      <c r="G614">
        <v>0.009558414297915929</v>
      </c>
      <c r="H614">
        <v>0.06</v>
      </c>
      <c r="I614">
        <v>0.1112777702025765</v>
      </c>
      <c r="J614" t="s">
        <v>777</v>
      </c>
      <c r="K614" t="s">
        <v>370</v>
      </c>
      <c r="L614">
        <v>2</v>
      </c>
      <c r="M614">
        <v>1.44</v>
      </c>
      <c r="N614">
        <v>0.72</v>
      </c>
      <c r="O614">
        <v>3</v>
      </c>
      <c r="P614">
        <v>0.06032490771095733</v>
      </c>
      <c r="Q614">
        <v>0.167533311667208</v>
      </c>
      <c r="R614" t="s">
        <v>781</v>
      </c>
      <c r="S614" t="s">
        <v>793</v>
      </c>
      <c r="T614">
        <v>18075.908988</v>
      </c>
      <c r="U614" s="2">
        <v>44509</v>
      </c>
      <c r="V614" t="s">
        <v>802</v>
      </c>
    </row>
    <row r="615" spans="1:22">
      <c r="A615" s="1" t="s">
        <v>635</v>
      </c>
      <c r="B615">
        <f>HYPERLINK("https://www.suredividend.com/sure-analysis-USAC/","USA Compression Partners LP")</f>
        <v>0</v>
      </c>
      <c r="C615">
        <v>15.45</v>
      </c>
      <c r="D615">
        <v>14.8</v>
      </c>
      <c r="E615">
        <v>1.043918918918919</v>
      </c>
      <c r="F615">
        <v>0.1359223300970874</v>
      </c>
      <c r="G615">
        <v>-0.008559521421107497</v>
      </c>
      <c r="H615">
        <v>0.01</v>
      </c>
      <c r="I615">
        <v>0.1101773124790371</v>
      </c>
      <c r="J615" t="s">
        <v>777</v>
      </c>
      <c r="K615" t="s">
        <v>370</v>
      </c>
      <c r="L615">
        <v>2.11</v>
      </c>
      <c r="M615">
        <v>2.1</v>
      </c>
      <c r="N615">
        <v>0.9952606635071091</v>
      </c>
      <c r="O615">
        <v>0</v>
      </c>
      <c r="P615">
        <v>0</v>
      </c>
      <c r="Q615">
        <v>0.663490592855413</v>
      </c>
      <c r="R615" t="s">
        <v>780</v>
      </c>
      <c r="S615" t="s">
        <v>792</v>
      </c>
      <c r="T615">
        <v>1533.662076</v>
      </c>
      <c r="U615" s="2">
        <v>44502</v>
      </c>
      <c r="V615" t="s">
        <v>801</v>
      </c>
    </row>
    <row r="616" spans="1:22">
      <c r="A616" s="1" t="s">
        <v>636</v>
      </c>
      <c r="B616">
        <f>HYPERLINK("https://www.suredividend.com/sure-analysis-TWO/","Two Harbors Investment Corp")</f>
        <v>0</v>
      </c>
      <c r="C616">
        <v>6.14</v>
      </c>
      <c r="D616">
        <v>6.3</v>
      </c>
      <c r="E616">
        <v>0.9746031746031746</v>
      </c>
      <c r="F616">
        <v>0.1107491856677525</v>
      </c>
      <c r="G616">
        <v>0.005158236376113789</v>
      </c>
      <c r="H616">
        <v>0.018</v>
      </c>
      <c r="I616">
        <v>0.1100277589813823</v>
      </c>
      <c r="J616" t="s">
        <v>777</v>
      </c>
      <c r="K616" t="s">
        <v>370</v>
      </c>
      <c r="L616">
        <v>0.75</v>
      </c>
      <c r="M616">
        <v>0.68</v>
      </c>
      <c r="N616">
        <v>0.9066666666666667</v>
      </c>
      <c r="O616">
        <v>0</v>
      </c>
      <c r="P616">
        <v>0.005814345444414393</v>
      </c>
      <c r="Q616">
        <v>0.112948246128682</v>
      </c>
      <c r="R616" t="s">
        <v>781</v>
      </c>
      <c r="S616" t="s">
        <v>793</v>
      </c>
      <c r="T616">
        <v>2152.846095</v>
      </c>
      <c r="U616" s="2">
        <v>44511</v>
      </c>
      <c r="V616" t="s">
        <v>804</v>
      </c>
    </row>
    <row r="617" spans="1:22">
      <c r="A617" s="1" t="s">
        <v>637</v>
      </c>
      <c r="B617">
        <f>HYPERLINK("https://www.suredividend.com/sure-analysis-LTC/","LTC Properties, Inc.")</f>
        <v>0</v>
      </c>
      <c r="C617">
        <v>34.38</v>
      </c>
      <c r="D617">
        <v>36</v>
      </c>
      <c r="E617">
        <v>0.9550000000000001</v>
      </c>
      <c r="F617">
        <v>0.0663176265270506</v>
      </c>
      <c r="G617">
        <v>0.009251319039511818</v>
      </c>
      <c r="H617">
        <v>0.05</v>
      </c>
      <c r="I617">
        <v>0.1077446417066057</v>
      </c>
      <c r="J617" t="s">
        <v>777</v>
      </c>
      <c r="K617" t="s">
        <v>370</v>
      </c>
      <c r="L617">
        <v>2.4</v>
      </c>
      <c r="M617">
        <v>2.28</v>
      </c>
      <c r="N617">
        <v>0.95</v>
      </c>
      <c r="O617">
        <v>0</v>
      </c>
      <c r="P617">
        <v>0</v>
      </c>
      <c r="Q617">
        <v>-0.037833025289636</v>
      </c>
      <c r="R617" t="s">
        <v>781</v>
      </c>
      <c r="S617" t="s">
        <v>793</v>
      </c>
      <c r="T617">
        <v>1344.623603</v>
      </c>
      <c r="U617" s="2">
        <v>44510</v>
      </c>
      <c r="V617" t="s">
        <v>802</v>
      </c>
    </row>
    <row r="618" spans="1:22">
      <c r="A618" s="1" t="s">
        <v>638</v>
      </c>
      <c r="B618">
        <f>HYPERLINK("https://www.suredividend.com/sure-analysis-QSR/","Restaurant Brands International Inc")</f>
        <v>0</v>
      </c>
      <c r="C618">
        <v>58.4</v>
      </c>
      <c r="D618">
        <v>53</v>
      </c>
      <c r="E618">
        <v>1.10188679245283</v>
      </c>
      <c r="F618">
        <v>0.0363013698630137</v>
      </c>
      <c r="G618">
        <v>-0.0192177341319324</v>
      </c>
      <c r="H618">
        <v>0.1</v>
      </c>
      <c r="I618">
        <v>0.1071018139501205</v>
      </c>
      <c r="J618" t="s">
        <v>777</v>
      </c>
      <c r="K618" t="s">
        <v>512</v>
      </c>
      <c r="L618">
        <v>2.8</v>
      </c>
      <c r="M618">
        <v>2.12</v>
      </c>
      <c r="N618">
        <v>0.7571428571428572</v>
      </c>
      <c r="O618">
        <v>9</v>
      </c>
      <c r="P618">
        <v>0.03517300006217261</v>
      </c>
      <c r="Q618">
        <v>0.017616631921963</v>
      </c>
      <c r="R618" t="s">
        <v>779</v>
      </c>
      <c r="S618" t="s">
        <v>790</v>
      </c>
      <c r="T618">
        <v>18025.257449</v>
      </c>
      <c r="U618" s="2">
        <v>44495</v>
      </c>
      <c r="V618" t="s">
        <v>802</v>
      </c>
    </row>
    <row r="619" spans="1:22">
      <c r="A619" s="1" t="s">
        <v>639</v>
      </c>
      <c r="B619">
        <f>HYPERLINK("https://www.suredividend.com/sure-analysis-CTRE/","CareTrust REIT Inc")</f>
        <v>0</v>
      </c>
      <c r="C619">
        <v>20.83</v>
      </c>
      <c r="D619">
        <v>22</v>
      </c>
      <c r="E619">
        <v>0.9468181818181818</v>
      </c>
      <c r="F619">
        <v>0.05088814210273644</v>
      </c>
      <c r="G619">
        <v>0.0109895863277516</v>
      </c>
      <c r="H619">
        <v>0.05</v>
      </c>
      <c r="I619">
        <v>0.1043801145333632</v>
      </c>
      <c r="J619" t="s">
        <v>777</v>
      </c>
      <c r="K619" t="s">
        <v>370</v>
      </c>
      <c r="L619">
        <v>1.5</v>
      </c>
      <c r="M619">
        <v>1.06</v>
      </c>
      <c r="N619">
        <v>0.7066666666666667</v>
      </c>
      <c r="O619">
        <v>5</v>
      </c>
      <c r="P619">
        <v>0.04955591526723868</v>
      </c>
      <c r="Q619">
        <v>0.09875569622263</v>
      </c>
      <c r="R619" t="s">
        <v>781</v>
      </c>
      <c r="S619" t="s">
        <v>793</v>
      </c>
      <c r="T619">
        <v>2014.401883</v>
      </c>
      <c r="U619" s="2">
        <v>44508</v>
      </c>
      <c r="V619" t="s">
        <v>801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14.49</v>
      </c>
      <c r="D620">
        <v>14.5</v>
      </c>
      <c r="E620">
        <v>0.9993103448275862</v>
      </c>
      <c r="F620">
        <v>0.08281573498964803</v>
      </c>
      <c r="G620">
        <v>0.0001379881382750359</v>
      </c>
      <c r="H620">
        <v>0.038</v>
      </c>
      <c r="I620">
        <v>0.1040520673485974</v>
      </c>
      <c r="J620" t="s">
        <v>777</v>
      </c>
      <c r="K620" t="s">
        <v>370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-0.059263227715699</v>
      </c>
      <c r="R620" t="s">
        <v>781</v>
      </c>
      <c r="S620" t="s">
        <v>793</v>
      </c>
      <c r="T620">
        <v>3373.001857</v>
      </c>
      <c r="U620" s="2">
        <v>44509</v>
      </c>
      <c r="V620" t="s">
        <v>804</v>
      </c>
    </row>
    <row r="621" spans="1:22">
      <c r="A621" s="1" t="s">
        <v>641</v>
      </c>
      <c r="B621">
        <f>HYPERLINK("https://www.suredividend.com/sure-analysis-CQP/","Cheniere Energy Partners LP")</f>
        <v>0</v>
      </c>
      <c r="C621">
        <v>42.31</v>
      </c>
      <c r="D621">
        <v>45</v>
      </c>
      <c r="E621">
        <v>0.9402222222222223</v>
      </c>
      <c r="F621">
        <v>0.06286929803828882</v>
      </c>
      <c r="G621">
        <v>0.01240410561311522</v>
      </c>
      <c r="H621">
        <v>0.04</v>
      </c>
      <c r="I621">
        <v>0.1029299690233396</v>
      </c>
      <c r="J621" t="s">
        <v>777</v>
      </c>
      <c r="K621" t="s">
        <v>370</v>
      </c>
      <c r="L621">
        <v>2.9</v>
      </c>
      <c r="M621">
        <v>2.66</v>
      </c>
      <c r="N621">
        <v>0.9172413793103449</v>
      </c>
      <c r="O621">
        <v>5</v>
      </c>
      <c r="P621">
        <v>0.02434894295516754</v>
      </c>
      <c r="Q621">
        <v>0.275911354596533</v>
      </c>
      <c r="R621" t="s">
        <v>780</v>
      </c>
      <c r="S621" t="s">
        <v>792</v>
      </c>
      <c r="T621">
        <v>20696.935639</v>
      </c>
      <c r="U621" s="2">
        <v>44509</v>
      </c>
      <c r="V621" t="s">
        <v>802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16.8</v>
      </c>
      <c r="D622">
        <v>20</v>
      </c>
      <c r="E622">
        <v>0.8400000000000001</v>
      </c>
      <c r="F622">
        <v>0.04761904761904762</v>
      </c>
      <c r="G622">
        <v>0.03548578845590522</v>
      </c>
      <c r="H622">
        <v>0.03</v>
      </c>
      <c r="I622">
        <v>0.1010462180406861</v>
      </c>
      <c r="J622" t="s">
        <v>777</v>
      </c>
      <c r="K622" t="s">
        <v>512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0.4347662141779781</v>
      </c>
      <c r="R622" t="s">
        <v>779</v>
      </c>
      <c r="S622" t="s">
        <v>788</v>
      </c>
      <c r="T622">
        <v>2343.262479</v>
      </c>
      <c r="U622" s="2">
        <v>44454</v>
      </c>
      <c r="V622" t="s">
        <v>799</v>
      </c>
    </row>
    <row r="623" spans="1:22">
      <c r="A623" s="1" t="s">
        <v>643</v>
      </c>
      <c r="B623">
        <f>HYPERLINK("https://www.suredividend.com/sure-analysis-CTO/","CTO Realty Growth Inc")</f>
        <v>0</v>
      </c>
      <c r="C623">
        <v>56.29</v>
      </c>
      <c r="D623">
        <v>56</v>
      </c>
      <c r="E623">
        <v>1.005178571428571</v>
      </c>
      <c r="F623">
        <v>0.07106057914372002</v>
      </c>
      <c r="G623">
        <v>-0.001032508344222416</v>
      </c>
      <c r="H623">
        <v>0.045</v>
      </c>
      <c r="I623">
        <v>0.1009056558559704</v>
      </c>
      <c r="J623" t="s">
        <v>777</v>
      </c>
      <c r="K623" t="s">
        <v>370</v>
      </c>
      <c r="L623">
        <v>4.15</v>
      </c>
      <c r="M623">
        <v>4</v>
      </c>
      <c r="N623">
        <v>0.9638554216867469</v>
      </c>
      <c r="O623">
        <v>8</v>
      </c>
      <c r="P623">
        <v>0.02016978262061087</v>
      </c>
      <c r="Q623">
        <v>0.256263260055071</v>
      </c>
      <c r="R623" t="s">
        <v>781</v>
      </c>
      <c r="S623" t="s">
        <v>793</v>
      </c>
      <c r="T623">
        <v>331.853269</v>
      </c>
      <c r="U623" s="2">
        <v>44502</v>
      </c>
      <c r="V623" t="s">
        <v>801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17.99</v>
      </c>
      <c r="D624">
        <v>18.8</v>
      </c>
      <c r="E624">
        <v>0.9569148936170212</v>
      </c>
      <c r="F624">
        <v>0.1000555864369094</v>
      </c>
      <c r="G624">
        <v>0.008847070400846979</v>
      </c>
      <c r="H624">
        <v>0.01</v>
      </c>
      <c r="I624">
        <v>0.1004109259547368</v>
      </c>
      <c r="J624" t="s">
        <v>777</v>
      </c>
      <c r="K624" t="s">
        <v>370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0.40236311103803</v>
      </c>
      <c r="R624" t="s">
        <v>781</v>
      </c>
      <c r="S624" t="s">
        <v>789</v>
      </c>
      <c r="T624">
        <v>1028.529516</v>
      </c>
      <c r="U624" s="2">
        <v>44509</v>
      </c>
      <c r="V624" t="s">
        <v>794</v>
      </c>
    </row>
    <row r="625" spans="1:22">
      <c r="A625" s="1" t="s">
        <v>645</v>
      </c>
      <c r="B625">
        <f>HYPERLINK("https://www.suredividend.com/sure-analysis-NEWT/","Newtek Business Services Corp")</f>
        <v>0</v>
      </c>
      <c r="C625">
        <v>30.09</v>
      </c>
      <c r="D625">
        <v>27</v>
      </c>
      <c r="E625">
        <v>1.114444444444444</v>
      </c>
      <c r="F625">
        <v>0.1046859421734796</v>
      </c>
      <c r="G625">
        <v>-0.02143807149709553</v>
      </c>
      <c r="H625">
        <v>0.03</v>
      </c>
      <c r="I625">
        <v>0.1000133112850368</v>
      </c>
      <c r="J625" t="s">
        <v>777</v>
      </c>
      <c r="K625" t="s">
        <v>370</v>
      </c>
      <c r="L625">
        <v>3.3</v>
      </c>
      <c r="M625">
        <v>3.15</v>
      </c>
      <c r="N625">
        <v>0.9545454545454546</v>
      </c>
      <c r="O625">
        <v>0</v>
      </c>
      <c r="P625">
        <v>0.02877218634269907</v>
      </c>
      <c r="Q625">
        <v>0.9033563194992241</v>
      </c>
      <c r="R625" t="s">
        <v>782</v>
      </c>
      <c r="S625" t="s">
        <v>789</v>
      </c>
      <c r="T625">
        <v>674.616652</v>
      </c>
      <c r="U625" s="2">
        <v>44426</v>
      </c>
      <c r="V625" t="s">
        <v>794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49.56</v>
      </c>
      <c r="D626">
        <v>53</v>
      </c>
      <c r="E626">
        <v>0.9350943396226415</v>
      </c>
      <c r="F626">
        <v>0.05569007263922517</v>
      </c>
      <c r="G626">
        <v>0.0135120449599444</v>
      </c>
      <c r="H626">
        <v>0.04</v>
      </c>
      <c r="I626">
        <v>0.09933687126614976</v>
      </c>
      <c r="J626" t="s">
        <v>777</v>
      </c>
      <c r="K626" t="s">
        <v>370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0.26107408461007</v>
      </c>
      <c r="R626" t="s">
        <v>779</v>
      </c>
      <c r="S626" t="s">
        <v>792</v>
      </c>
      <c r="T626">
        <v>48620.23065</v>
      </c>
      <c r="U626" s="2">
        <v>44510</v>
      </c>
      <c r="V626" t="s">
        <v>802</v>
      </c>
    </row>
    <row r="627" spans="1:22">
      <c r="A627" s="1" t="s">
        <v>647</v>
      </c>
      <c r="B627">
        <f>HYPERLINK("https://www.suredividend.com/sure-analysis-MRCC/","Monroe Capital Corp")</f>
        <v>0</v>
      </c>
      <c r="C627">
        <v>10.77</v>
      </c>
      <c r="D627">
        <v>11.6</v>
      </c>
      <c r="E627">
        <v>0.9284482758620689</v>
      </c>
      <c r="F627">
        <v>0.09285051067780874</v>
      </c>
      <c r="G627">
        <v>0.01495890236052944</v>
      </c>
      <c r="H627">
        <v>0</v>
      </c>
      <c r="I627">
        <v>0.09424509102254097</v>
      </c>
      <c r="J627" t="s">
        <v>777</v>
      </c>
      <c r="K627" t="s">
        <v>776</v>
      </c>
      <c r="L627">
        <v>1.45</v>
      </c>
      <c r="M627">
        <v>1</v>
      </c>
      <c r="N627">
        <v>0.6896551724137931</v>
      </c>
      <c r="O627">
        <v>0</v>
      </c>
      <c r="P627">
        <v>0.01924487649145656</v>
      </c>
      <c r="Q627">
        <v>0.6192469240245181</v>
      </c>
      <c r="R627" t="s">
        <v>782</v>
      </c>
      <c r="S627" t="s">
        <v>789</v>
      </c>
      <c r="T627">
        <v>235.040021</v>
      </c>
      <c r="U627" s="2">
        <v>44507</v>
      </c>
      <c r="V627" t="s">
        <v>794</v>
      </c>
    </row>
    <row r="628" spans="1:22">
      <c r="A628" s="1" t="s">
        <v>648</v>
      </c>
      <c r="B628">
        <f>HYPERLINK("https://www.suredividend.com/sure-analysis-GSBD/","Goldman Sachs BDC Inc")</f>
        <v>0</v>
      </c>
      <c r="C628">
        <v>18.92</v>
      </c>
      <c r="D628">
        <v>20.64</v>
      </c>
      <c r="E628">
        <v>0.9166666666666667</v>
      </c>
      <c r="F628">
        <v>0.09513742071881606</v>
      </c>
      <c r="G628">
        <v>0.01755457717558762</v>
      </c>
      <c r="H628">
        <v>0</v>
      </c>
      <c r="I628">
        <v>0.09393473758366677</v>
      </c>
      <c r="J628" t="s">
        <v>777</v>
      </c>
      <c r="K628" t="s">
        <v>370</v>
      </c>
      <c r="L628">
        <v>2.15</v>
      </c>
      <c r="M628">
        <v>1.8</v>
      </c>
      <c r="N628">
        <v>0.8372093023255814</v>
      </c>
      <c r="O628">
        <v>0</v>
      </c>
      <c r="P628">
        <v>0</v>
      </c>
      <c r="Q628">
        <v>0.231257488908319</v>
      </c>
      <c r="R628" t="s">
        <v>782</v>
      </c>
      <c r="S628" t="s">
        <v>789</v>
      </c>
      <c r="T628">
        <v>1935.575597</v>
      </c>
      <c r="U628" s="2">
        <v>44513</v>
      </c>
      <c r="V628" t="s">
        <v>794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8.51</v>
      </c>
      <c r="D629">
        <v>9</v>
      </c>
      <c r="E629">
        <v>0.9455555555555555</v>
      </c>
      <c r="F629">
        <v>0.09988249118683901</v>
      </c>
      <c r="G629">
        <v>0.01125944265125423</v>
      </c>
      <c r="H629">
        <v>0</v>
      </c>
      <c r="I629">
        <v>0.09259010654076794</v>
      </c>
      <c r="J629" t="s">
        <v>777</v>
      </c>
      <c r="K629" t="s">
        <v>370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0.299831984114861</v>
      </c>
      <c r="R629" t="s">
        <v>781</v>
      </c>
      <c r="S629" t="s">
        <v>793</v>
      </c>
      <c r="T629">
        <v>1051.040094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HYPERLINK("https://www.suredividend.com/sure-analysis-UMH/","UMH Properties Inc")</f>
        <v>0</v>
      </c>
      <c r="C630">
        <v>23.38</v>
      </c>
      <c r="D630">
        <v>25.7</v>
      </c>
      <c r="E630">
        <v>0.909727626459144</v>
      </c>
      <c r="F630">
        <v>0.03250641573994868</v>
      </c>
      <c r="G630">
        <v>0.01910216285752631</v>
      </c>
      <c r="H630">
        <v>0.045</v>
      </c>
      <c r="I630">
        <v>0.0915975038096557</v>
      </c>
      <c r="J630" t="s">
        <v>777</v>
      </c>
      <c r="K630" t="s">
        <v>512</v>
      </c>
      <c r="L630">
        <v>0.89</v>
      </c>
      <c r="M630">
        <v>0.76</v>
      </c>
      <c r="N630">
        <v>0.8539325842696629</v>
      </c>
      <c r="O630">
        <v>1</v>
      </c>
      <c r="P630">
        <v>0.03439350143683439</v>
      </c>
      <c r="Q630">
        <v>0.685020661909933</v>
      </c>
      <c r="R630" t="s">
        <v>781</v>
      </c>
      <c r="S630" t="s">
        <v>793</v>
      </c>
      <c r="T630">
        <v>1133.210454</v>
      </c>
      <c r="U630" s="2">
        <v>44509</v>
      </c>
      <c r="V630" t="s">
        <v>804</v>
      </c>
    </row>
    <row r="631" spans="1:22">
      <c r="A631" s="1" t="s">
        <v>651</v>
      </c>
      <c r="B631">
        <f>HYPERLINK("https://www.suredividend.com/sure-analysis-ORCC/","Owl Rock Capital Corp")</f>
        <v>0</v>
      </c>
      <c r="C631">
        <v>14.43</v>
      </c>
      <c r="D631">
        <v>14.64</v>
      </c>
      <c r="E631">
        <v>0.985655737704918</v>
      </c>
      <c r="F631">
        <v>0.08593208593208593</v>
      </c>
      <c r="G631">
        <v>0.00289380614628687</v>
      </c>
      <c r="H631">
        <v>0.02</v>
      </c>
      <c r="I631">
        <v>0.09158015653613205</v>
      </c>
      <c r="J631" t="s">
        <v>777</v>
      </c>
      <c r="K631" t="s">
        <v>370</v>
      </c>
      <c r="L631">
        <v>1.22</v>
      </c>
      <c r="M631">
        <v>1.24</v>
      </c>
      <c r="N631">
        <v>1.016393442622951</v>
      </c>
      <c r="O631">
        <v>0</v>
      </c>
      <c r="P631">
        <v>0</v>
      </c>
      <c r="Q631">
        <v>0.171009429537257</v>
      </c>
      <c r="R631" t="s">
        <v>782</v>
      </c>
      <c r="S631" t="s">
        <v>789</v>
      </c>
      <c r="T631">
        <v>5692.848982</v>
      </c>
      <c r="U631" s="2">
        <v>44509</v>
      </c>
      <c r="V631" t="s">
        <v>794</v>
      </c>
    </row>
    <row r="632" spans="1:22">
      <c r="A632" s="1" t="s">
        <v>652</v>
      </c>
      <c r="B632">
        <f>HYPERLINK("https://www.suredividend.com/sure-analysis-WSO/","Watsco Inc.")</f>
        <v>0</v>
      </c>
      <c r="C632">
        <v>300.91</v>
      </c>
      <c r="D632">
        <v>257</v>
      </c>
      <c r="E632">
        <v>1.170856031128405</v>
      </c>
      <c r="F632">
        <v>0.02592137183875577</v>
      </c>
      <c r="G632">
        <v>-0.03105461059644854</v>
      </c>
      <c r="H632">
        <v>0.1</v>
      </c>
      <c r="I632">
        <v>0.0915448375590262</v>
      </c>
      <c r="J632" t="s">
        <v>777</v>
      </c>
      <c r="K632" t="s">
        <v>777</v>
      </c>
      <c r="L632">
        <v>10.29</v>
      </c>
      <c r="M632">
        <v>7.8</v>
      </c>
      <c r="N632">
        <v>0.7580174927113703</v>
      </c>
      <c r="O632">
        <v>8</v>
      </c>
      <c r="P632">
        <v>0.0999653567765697</v>
      </c>
      <c r="Q632">
        <v>0.343253124053847</v>
      </c>
      <c r="R632" t="s">
        <v>781</v>
      </c>
      <c r="S632" t="s">
        <v>793</v>
      </c>
      <c r="T632">
        <v>11717.691505</v>
      </c>
      <c r="U632" s="2">
        <v>44490</v>
      </c>
      <c r="V632" t="s">
        <v>795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4.93</v>
      </c>
      <c r="D633">
        <v>3.6</v>
      </c>
      <c r="E633">
        <v>1.369444444444444</v>
      </c>
      <c r="F633">
        <v>0.1582150101419879</v>
      </c>
      <c r="G633">
        <v>-0.06094481216949699</v>
      </c>
      <c r="H633">
        <v>0.003</v>
      </c>
      <c r="I633">
        <v>0.09082375566756506</v>
      </c>
      <c r="J633" t="s">
        <v>777</v>
      </c>
      <c r="K633" t="s">
        <v>776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0.039883330162957</v>
      </c>
      <c r="R633" t="s">
        <v>781</v>
      </c>
      <c r="S633" t="s">
        <v>793</v>
      </c>
      <c r="T633">
        <v>792.894157</v>
      </c>
      <c r="U633" s="2">
        <v>44506</v>
      </c>
      <c r="V633" t="s">
        <v>804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48.32</v>
      </c>
      <c r="D634">
        <v>50</v>
      </c>
      <c r="E634">
        <v>0.9664</v>
      </c>
      <c r="F634">
        <v>0.05277317880794702</v>
      </c>
      <c r="G634">
        <v>0.00685890564579883</v>
      </c>
      <c r="H634">
        <v>0.04</v>
      </c>
      <c r="I634">
        <v>0.09010398034210709</v>
      </c>
      <c r="J634" t="s">
        <v>777</v>
      </c>
      <c r="K634" t="s">
        <v>370</v>
      </c>
      <c r="L634">
        <v>3.3</v>
      </c>
      <c r="M634">
        <v>2.55</v>
      </c>
      <c r="N634">
        <v>0.7727272727272727</v>
      </c>
      <c r="O634">
        <v>1</v>
      </c>
      <c r="P634">
        <v>0.02033265364950054</v>
      </c>
      <c r="Q634">
        <v>0.406906260543798</v>
      </c>
      <c r="R634" t="s">
        <v>781</v>
      </c>
      <c r="S634" t="s">
        <v>793</v>
      </c>
      <c r="T634">
        <v>5964.772476</v>
      </c>
      <c r="U634" s="2">
        <v>44509</v>
      </c>
      <c r="V634" t="s">
        <v>794</v>
      </c>
    </row>
    <row r="635" spans="1:22">
      <c r="A635" s="1" t="s">
        <v>655</v>
      </c>
      <c r="B635">
        <f>HYPERLINK("https://www.suredividend.com/sure-analysis-FCPT/","Four Corners Property Trust Inc")</f>
        <v>0</v>
      </c>
      <c r="C635">
        <v>28.6</v>
      </c>
      <c r="D635">
        <v>29</v>
      </c>
      <c r="E635">
        <v>0.9862068965517242</v>
      </c>
      <c r="F635">
        <v>0.0444055944055944</v>
      </c>
      <c r="G635">
        <v>0.002781684155765296</v>
      </c>
      <c r="H635">
        <v>0.05</v>
      </c>
      <c r="I635">
        <v>0.09001717806081677</v>
      </c>
      <c r="J635" t="s">
        <v>777</v>
      </c>
      <c r="K635" t="s">
        <v>512</v>
      </c>
      <c r="L635">
        <v>1.53</v>
      </c>
      <c r="M635">
        <v>1.27</v>
      </c>
      <c r="N635">
        <v>0.8300653594771242</v>
      </c>
      <c r="O635">
        <v>4</v>
      </c>
      <c r="P635">
        <v>0.03246778448335941</v>
      </c>
      <c r="Q635">
        <v>0.03135073911654501</v>
      </c>
      <c r="R635" t="s">
        <v>781</v>
      </c>
      <c r="S635" t="s">
        <v>793</v>
      </c>
      <c r="T635">
        <v>2197.588304</v>
      </c>
      <c r="U635" s="2">
        <v>44499</v>
      </c>
      <c r="V635" t="s">
        <v>796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14.27</v>
      </c>
      <c r="D636">
        <v>13</v>
      </c>
      <c r="E636">
        <v>1.097692307692308</v>
      </c>
      <c r="F636">
        <v>0.04765241765942537</v>
      </c>
      <c r="G636">
        <v>-0.01846932719406658</v>
      </c>
      <c r="H636">
        <v>0.065</v>
      </c>
      <c r="I636">
        <v>0.08863019252438176</v>
      </c>
      <c r="J636" t="s">
        <v>777</v>
      </c>
      <c r="K636" t="s">
        <v>512</v>
      </c>
      <c r="L636">
        <v>0.73</v>
      </c>
      <c r="M636">
        <v>0.68</v>
      </c>
      <c r="N636">
        <v>0.9315068493150686</v>
      </c>
      <c r="O636">
        <v>9</v>
      </c>
      <c r="P636">
        <v>0.05530068195228077</v>
      </c>
      <c r="Q636">
        <v>-0.068180326793096</v>
      </c>
      <c r="R636" t="s">
        <v>779</v>
      </c>
      <c r="S636" t="s">
        <v>791</v>
      </c>
      <c r="T636">
        <v>9517.206190000001</v>
      </c>
      <c r="U636" s="2">
        <v>44513</v>
      </c>
      <c r="V636" t="s">
        <v>803</v>
      </c>
    </row>
    <row r="637" spans="1:22">
      <c r="A637" s="1" t="s">
        <v>657</v>
      </c>
      <c r="B637">
        <f>HYPERLINK("https://www.suredividend.com/sure-analysis-HR/","Healthcare Realty Trust, Inc.")</f>
        <v>0</v>
      </c>
      <c r="C637">
        <v>32.38</v>
      </c>
      <c r="D637">
        <v>32</v>
      </c>
      <c r="E637">
        <v>1.011875</v>
      </c>
      <c r="F637">
        <v>0.03736874613959234</v>
      </c>
      <c r="G637">
        <v>-0.002358224100217576</v>
      </c>
      <c r="H637">
        <v>0.06</v>
      </c>
      <c r="I637">
        <v>0.08661595103083886</v>
      </c>
      <c r="J637" t="s">
        <v>777</v>
      </c>
      <c r="K637" t="s">
        <v>512</v>
      </c>
      <c r="L637">
        <v>1.72</v>
      </c>
      <c r="M637">
        <v>1.21</v>
      </c>
      <c r="N637">
        <v>0.7034883720930233</v>
      </c>
      <c r="O637">
        <v>1</v>
      </c>
      <c r="P637">
        <v>0.00972630418295628</v>
      </c>
      <c r="Q637">
        <v>0.040870522702247</v>
      </c>
      <c r="R637" t="s">
        <v>781</v>
      </c>
      <c r="S637" t="s">
        <v>793</v>
      </c>
      <c r="T637">
        <v>4741.99448</v>
      </c>
      <c r="U637" s="2">
        <v>44513</v>
      </c>
      <c r="V637" t="s">
        <v>801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11.4</v>
      </c>
      <c r="D638">
        <v>12.4</v>
      </c>
      <c r="E638">
        <v>0.9193548387096774</v>
      </c>
      <c r="F638">
        <v>0.02982456140350877</v>
      </c>
      <c r="G638">
        <v>0.01695881881786532</v>
      </c>
      <c r="H638">
        <v>0.042</v>
      </c>
      <c r="I638">
        <v>0.08636520511302104</v>
      </c>
      <c r="J638" t="s">
        <v>777</v>
      </c>
      <c r="K638" t="s">
        <v>777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0.04022956790464</v>
      </c>
      <c r="R638" t="s">
        <v>779</v>
      </c>
      <c r="S638" t="s">
        <v>791</v>
      </c>
      <c r="T638">
        <v>172.033006</v>
      </c>
      <c r="U638" s="2">
        <v>44431</v>
      </c>
      <c r="V638" t="s">
        <v>804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29.04</v>
      </c>
      <c r="D639">
        <v>27.05</v>
      </c>
      <c r="E639">
        <v>1.073567467652495</v>
      </c>
      <c r="F639">
        <v>0.03443526170798898</v>
      </c>
      <c r="G639">
        <v>-0.01409712859330148</v>
      </c>
      <c r="H639">
        <v>0.07000000000000001</v>
      </c>
      <c r="I639">
        <v>0.08542314678983587</v>
      </c>
      <c r="J639" t="s">
        <v>777</v>
      </c>
      <c r="K639" t="s">
        <v>512</v>
      </c>
      <c r="L639">
        <v>1.48</v>
      </c>
      <c r="M639">
        <v>1</v>
      </c>
      <c r="N639">
        <v>0.6756756756756757</v>
      </c>
      <c r="O639">
        <v>2</v>
      </c>
      <c r="P639">
        <v>0.05061112176150684</v>
      </c>
      <c r="Q639">
        <v>0.5371277518043961</v>
      </c>
      <c r="R639" t="s">
        <v>781</v>
      </c>
      <c r="S639" t="s">
        <v>793</v>
      </c>
      <c r="T639">
        <v>3513.484612</v>
      </c>
      <c r="U639" s="2">
        <v>44508</v>
      </c>
      <c r="V639" t="s">
        <v>801</v>
      </c>
    </row>
    <row r="640" spans="1:22">
      <c r="A640" s="1" t="s">
        <v>660</v>
      </c>
      <c r="B640">
        <f>HYPERLINK("https://www.suredividend.com/sure-analysis-EXR/","Extra Space Storage Inc.")</f>
        <v>0</v>
      </c>
      <c r="C640">
        <v>199.93</v>
      </c>
      <c r="D640">
        <v>150</v>
      </c>
      <c r="E640">
        <v>1.332866666666667</v>
      </c>
      <c r="F640">
        <v>0.02500875306357225</v>
      </c>
      <c r="G640">
        <v>-0.0558463886976579</v>
      </c>
      <c r="H640">
        <v>0.12</v>
      </c>
      <c r="I640">
        <v>0.08377145906736061</v>
      </c>
      <c r="J640" t="s">
        <v>777</v>
      </c>
      <c r="K640" t="s">
        <v>512</v>
      </c>
      <c r="L640">
        <v>6.8</v>
      </c>
      <c r="M640">
        <v>5</v>
      </c>
      <c r="N640">
        <v>0.7352941176470589</v>
      </c>
      <c r="O640">
        <v>12</v>
      </c>
      <c r="P640">
        <v>0.1101240567487265</v>
      </c>
      <c r="Q640">
        <v>0.7310369432454931</v>
      </c>
      <c r="R640" t="s">
        <v>781</v>
      </c>
      <c r="S640" t="s">
        <v>793</v>
      </c>
      <c r="T640">
        <v>26505.22152</v>
      </c>
      <c r="U640" s="2">
        <v>44500</v>
      </c>
      <c r="V640" t="s">
        <v>794</v>
      </c>
    </row>
    <row r="641" spans="1:22">
      <c r="A641" s="1" t="s">
        <v>661</v>
      </c>
      <c r="B641">
        <f>HYPERLINK("https://www.suredividend.com/sure-analysis-NYMT/","New York Mortgage Trust Inc")</f>
        <v>0</v>
      </c>
      <c r="C641">
        <v>4.21</v>
      </c>
      <c r="D641">
        <v>4.05</v>
      </c>
      <c r="E641">
        <v>1.039506172839506</v>
      </c>
      <c r="F641">
        <v>0.09501187648456058</v>
      </c>
      <c r="G641">
        <v>-0.00771920603190801</v>
      </c>
      <c r="H641">
        <v>0.01</v>
      </c>
      <c r="I641">
        <v>0.08245818782448167</v>
      </c>
      <c r="J641" t="s">
        <v>777</v>
      </c>
      <c r="K641" t="s">
        <v>370</v>
      </c>
      <c r="L641">
        <v>0.45</v>
      </c>
      <c r="M641">
        <v>0.4</v>
      </c>
      <c r="N641">
        <v>0.888888888888889</v>
      </c>
      <c r="O641">
        <v>0</v>
      </c>
      <c r="P641">
        <v>0</v>
      </c>
      <c r="Q641">
        <v>0.579142011834319</v>
      </c>
      <c r="R641" t="s">
        <v>779</v>
      </c>
      <c r="S641" t="s">
        <v>793</v>
      </c>
      <c r="T641">
        <v>1619.553248</v>
      </c>
      <c r="U641" s="2">
        <v>44435</v>
      </c>
      <c r="V641" t="s">
        <v>798</v>
      </c>
    </row>
    <row r="642" spans="1:22">
      <c r="A642" s="1" t="s">
        <v>662</v>
      </c>
      <c r="B642">
        <f>HYPERLINK("https://www.suredividend.com/sure-analysis-AAT/","American Assets Trust Inc")</f>
        <v>0</v>
      </c>
      <c r="C642">
        <v>38.94</v>
      </c>
      <c r="D642">
        <v>38</v>
      </c>
      <c r="E642">
        <v>1.024736842105263</v>
      </c>
      <c r="F642">
        <v>0.03081664098613251</v>
      </c>
      <c r="G642">
        <v>-0.004875245268566641</v>
      </c>
      <c r="H642">
        <v>0.06</v>
      </c>
      <c r="I642">
        <v>0.08223658082609875</v>
      </c>
      <c r="J642" t="s">
        <v>777</v>
      </c>
      <c r="K642" t="s">
        <v>512</v>
      </c>
      <c r="L642">
        <v>1.92</v>
      </c>
      <c r="M642">
        <v>1.2</v>
      </c>
      <c r="N642">
        <v>0.625</v>
      </c>
      <c r="O642">
        <v>1</v>
      </c>
      <c r="P642">
        <v>0.04978904632428516</v>
      </c>
      <c r="Q642">
        <v>0.496218731820826</v>
      </c>
      <c r="R642" t="s">
        <v>781</v>
      </c>
      <c r="S642" t="s">
        <v>793</v>
      </c>
      <c r="T642">
        <v>2333.012268</v>
      </c>
      <c r="U642" s="2">
        <v>44502</v>
      </c>
      <c r="V642" t="s">
        <v>802</v>
      </c>
    </row>
    <row r="643" spans="1:22">
      <c r="A643" s="1" t="s">
        <v>663</v>
      </c>
      <c r="B643">
        <f>HYPERLINK("https://www.suredividend.com/sure-analysis-GNL/","Global Net Lease Inc")</f>
        <v>0</v>
      </c>
      <c r="C643">
        <v>15.88</v>
      </c>
      <c r="D643">
        <v>12.4</v>
      </c>
      <c r="E643">
        <v>1.280645161290323</v>
      </c>
      <c r="F643">
        <v>0.1007556675062972</v>
      </c>
      <c r="G643">
        <v>-0.04826895193488467</v>
      </c>
      <c r="H643">
        <v>0.04</v>
      </c>
      <c r="I643">
        <v>0.08182850422233434</v>
      </c>
      <c r="J643" t="s">
        <v>777</v>
      </c>
      <c r="K643" t="s">
        <v>370</v>
      </c>
      <c r="L643">
        <v>1.77</v>
      </c>
      <c r="M643">
        <v>1.6</v>
      </c>
      <c r="N643">
        <v>0.903954802259887</v>
      </c>
      <c r="O643">
        <v>0</v>
      </c>
      <c r="P643">
        <v>0.01808400232019891</v>
      </c>
      <c r="Q643">
        <v>0.039648629282662</v>
      </c>
      <c r="R643" t="s">
        <v>781</v>
      </c>
      <c r="S643" t="s">
        <v>793</v>
      </c>
      <c r="T643">
        <v>1623.479036</v>
      </c>
      <c r="U643" s="2">
        <v>44509</v>
      </c>
      <c r="V643" t="s">
        <v>804</v>
      </c>
    </row>
    <row r="644" spans="1:22">
      <c r="A644" s="1" t="s">
        <v>664</v>
      </c>
      <c r="B644">
        <f>HYPERLINK("https://www.suredividend.com/sure-analysis-VOD/","Vodafone Group plc")</f>
        <v>0</v>
      </c>
      <c r="C644">
        <v>15.38</v>
      </c>
      <c r="D644">
        <v>15</v>
      </c>
      <c r="E644">
        <v>1.025333333333333</v>
      </c>
      <c r="F644">
        <v>0.07022106631989597</v>
      </c>
      <c r="G644">
        <v>-0.004991055677454503</v>
      </c>
      <c r="H644">
        <v>0.03</v>
      </c>
      <c r="I644">
        <v>0.08181801705967051</v>
      </c>
      <c r="J644" t="s">
        <v>777</v>
      </c>
      <c r="K644" t="s">
        <v>370</v>
      </c>
      <c r="L644">
        <v>1.1</v>
      </c>
      <c r="M644">
        <v>1.08</v>
      </c>
      <c r="N644">
        <v>0.9818181818181818</v>
      </c>
      <c r="O644">
        <v>0</v>
      </c>
      <c r="P644">
        <v>0</v>
      </c>
      <c r="Q644">
        <v>0.019782595798258</v>
      </c>
      <c r="R644" t="s">
        <v>779</v>
      </c>
      <c r="S644" t="s">
        <v>783</v>
      </c>
      <c r="T644">
        <v>42341.673441</v>
      </c>
      <c r="U644" s="2">
        <v>44429</v>
      </c>
      <c r="V644" t="s">
        <v>798</v>
      </c>
    </row>
    <row r="645" spans="1:22">
      <c r="A645" s="1" t="s">
        <v>665</v>
      </c>
      <c r="B645">
        <f>HYPERLINK("https://www.suredividend.com/sure-analysis-SSREY/","Swiss Re Ltd")</f>
        <v>0</v>
      </c>
      <c r="C645">
        <v>24.057</v>
      </c>
      <c r="D645">
        <v>21</v>
      </c>
      <c r="E645">
        <v>1.145571428571428</v>
      </c>
      <c r="F645">
        <v>0.06692438791204224</v>
      </c>
      <c r="G645">
        <v>-0.0268146439038357</v>
      </c>
      <c r="H645">
        <v>0.05</v>
      </c>
      <c r="I645">
        <v>0.08004559859160731</v>
      </c>
      <c r="J645" t="s">
        <v>777</v>
      </c>
      <c r="K645" t="s">
        <v>370</v>
      </c>
      <c r="L645">
        <v>1.75</v>
      </c>
      <c r="M645">
        <v>1.61</v>
      </c>
      <c r="N645">
        <v>0.92</v>
      </c>
      <c r="O645">
        <v>5</v>
      </c>
      <c r="P645">
        <v>0.02027871203234244</v>
      </c>
      <c r="Q645">
        <v>0.125801952580195</v>
      </c>
      <c r="R645" t="s">
        <v>779</v>
      </c>
      <c r="S645" t="s">
        <v>789</v>
      </c>
      <c r="T645">
        <v>30754.059048</v>
      </c>
      <c r="U645" s="2">
        <v>44503</v>
      </c>
      <c r="V645" t="s">
        <v>794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18.44</v>
      </c>
      <c r="D646">
        <v>16.5</v>
      </c>
      <c r="E646">
        <v>1.117575757575758</v>
      </c>
      <c r="F646">
        <v>0.1127982646420824</v>
      </c>
      <c r="G646">
        <v>-0.02198704972438714</v>
      </c>
      <c r="H646">
        <v>0</v>
      </c>
      <c r="I646">
        <v>0.07844567392472479</v>
      </c>
      <c r="J646" t="s">
        <v>777</v>
      </c>
      <c r="K646" t="s">
        <v>776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0.6097679504312961</v>
      </c>
      <c r="R646" t="s">
        <v>780</v>
      </c>
      <c r="S646" t="s">
        <v>786</v>
      </c>
      <c r="T646">
        <v>610.46911</v>
      </c>
      <c r="U646" s="2">
        <v>44435</v>
      </c>
      <c r="V646" t="s">
        <v>794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18.7</v>
      </c>
      <c r="D647">
        <v>17</v>
      </c>
      <c r="E647">
        <v>1.1</v>
      </c>
      <c r="F647">
        <v>0.1005347593582888</v>
      </c>
      <c r="G647">
        <v>-0.01888150427373569</v>
      </c>
      <c r="H647">
        <v>0.01</v>
      </c>
      <c r="I647">
        <v>0.07834988056702308</v>
      </c>
      <c r="J647" t="s">
        <v>777</v>
      </c>
      <c r="K647" t="s">
        <v>370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0.252402049749119</v>
      </c>
      <c r="R647" t="s">
        <v>781</v>
      </c>
      <c r="S647" t="s">
        <v>789</v>
      </c>
      <c r="T647">
        <v>1820.815646</v>
      </c>
      <c r="U647" s="2">
        <v>44512</v>
      </c>
      <c r="V647" t="s">
        <v>801</v>
      </c>
    </row>
    <row r="648" spans="1:22">
      <c r="A648" s="1" t="s">
        <v>668</v>
      </c>
      <c r="B648">
        <f>HYPERLINK("https://www.suredividend.com/sure-analysis-KREF/","KKR Real Estate Finance Trust Inc")</f>
        <v>0</v>
      </c>
      <c r="C648">
        <v>22</v>
      </c>
      <c r="D648">
        <v>21.53</v>
      </c>
      <c r="E648">
        <v>1.021830004644682</v>
      </c>
      <c r="F648">
        <v>0.07818181818181819</v>
      </c>
      <c r="G648">
        <v>-0.004309714806641884</v>
      </c>
      <c r="H648">
        <v>0.015</v>
      </c>
      <c r="I648">
        <v>0.07823599478778243</v>
      </c>
      <c r="J648" t="s">
        <v>777</v>
      </c>
      <c r="K648" t="s">
        <v>370</v>
      </c>
      <c r="L648">
        <v>2.05</v>
      </c>
      <c r="M648">
        <v>1.72</v>
      </c>
      <c r="N648">
        <v>0.8390243902439025</v>
      </c>
      <c r="O648">
        <v>0</v>
      </c>
      <c r="P648">
        <v>0.01025271344829148</v>
      </c>
      <c r="Q648">
        <v>0.325615902485683</v>
      </c>
      <c r="R648" t="s">
        <v>781</v>
      </c>
      <c r="S648" t="s">
        <v>793</v>
      </c>
      <c r="T648">
        <v>1206.901259</v>
      </c>
      <c r="U648" s="2">
        <v>44495</v>
      </c>
      <c r="V648" t="s">
        <v>794</v>
      </c>
    </row>
    <row r="649" spans="1:22">
      <c r="A649" s="1" t="s">
        <v>669</v>
      </c>
      <c r="B649">
        <f>HYPERLINK("https://www.suredividend.com/sure-analysis-NLY/","Annaly Capital Management Inc")</f>
        <v>0</v>
      </c>
      <c r="C649">
        <v>8.539999999999999</v>
      </c>
      <c r="D649">
        <v>7.8</v>
      </c>
      <c r="E649">
        <v>1.094871794871795</v>
      </c>
      <c r="F649">
        <v>0.1030444964871195</v>
      </c>
      <c r="G649">
        <v>-0.01796414082312625</v>
      </c>
      <c r="H649">
        <v>-0.004</v>
      </c>
      <c r="I649">
        <v>0.07742368823269086</v>
      </c>
      <c r="J649" t="s">
        <v>777</v>
      </c>
      <c r="K649" t="s">
        <v>776</v>
      </c>
      <c r="L649">
        <v>1.12</v>
      </c>
      <c r="M649">
        <v>0.88</v>
      </c>
      <c r="N649">
        <v>0.7857142857142857</v>
      </c>
      <c r="O649">
        <v>0</v>
      </c>
      <c r="P649">
        <v>0.02589630491023409</v>
      </c>
      <c r="Q649">
        <v>0.254147603525645</v>
      </c>
      <c r="R649" t="s">
        <v>781</v>
      </c>
      <c r="S649" t="s">
        <v>793</v>
      </c>
      <c r="T649">
        <v>12442.035503</v>
      </c>
      <c r="U649" s="2">
        <v>44503</v>
      </c>
      <c r="V649" t="s">
        <v>804</v>
      </c>
    </row>
    <row r="650" spans="1:22">
      <c r="A650" s="1" t="s">
        <v>670</v>
      </c>
      <c r="B650">
        <f>HYPERLINK("https://www.suredividend.com/sure-analysis-NRZ/","New Residential Investment Corp")</f>
        <v>0</v>
      </c>
      <c r="C650">
        <v>11.4</v>
      </c>
      <c r="D650">
        <v>10</v>
      </c>
      <c r="E650">
        <v>1.14</v>
      </c>
      <c r="F650">
        <v>0.08771929824561403</v>
      </c>
      <c r="G650">
        <v>-0.02586526421769075</v>
      </c>
      <c r="H650">
        <v>0.02</v>
      </c>
      <c r="I650">
        <v>0.07689993466252898</v>
      </c>
      <c r="J650" t="s">
        <v>777</v>
      </c>
      <c r="K650" t="s">
        <v>370</v>
      </c>
      <c r="L650">
        <v>1.3</v>
      </c>
      <c r="M650">
        <v>1</v>
      </c>
      <c r="N650">
        <v>0.7692307692307692</v>
      </c>
      <c r="O650">
        <v>1</v>
      </c>
      <c r="P650">
        <v>0.03012896281839894</v>
      </c>
      <c r="Q650">
        <v>0.477762023077023</v>
      </c>
      <c r="R650" t="s">
        <v>781</v>
      </c>
      <c r="S650" t="s">
        <v>793</v>
      </c>
      <c r="T650">
        <v>5300.347891</v>
      </c>
      <c r="U650" s="2">
        <v>44503</v>
      </c>
      <c r="V650" t="s">
        <v>797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46.33</v>
      </c>
      <c r="D651">
        <v>43</v>
      </c>
      <c r="E651">
        <v>1.077441860465116</v>
      </c>
      <c r="F651">
        <v>0.03755665875242823</v>
      </c>
      <c r="G651">
        <v>-0.01480719588559887</v>
      </c>
      <c r="H651">
        <v>0.06</v>
      </c>
      <c r="I651">
        <v>0.07585171836068749</v>
      </c>
      <c r="J651" t="s">
        <v>777</v>
      </c>
      <c r="K651" t="s">
        <v>512</v>
      </c>
      <c r="L651">
        <v>2.21</v>
      </c>
      <c r="M651">
        <v>1.74</v>
      </c>
      <c r="N651">
        <v>0.7873303167420814</v>
      </c>
      <c r="O651">
        <v>6</v>
      </c>
      <c r="P651">
        <v>0.01988310171094443</v>
      </c>
      <c r="Q651">
        <v>0.012933914990676</v>
      </c>
      <c r="R651" t="s">
        <v>781</v>
      </c>
      <c r="S651" t="s">
        <v>793</v>
      </c>
      <c r="T651">
        <v>1154.941252</v>
      </c>
      <c r="U651" s="2">
        <v>44508</v>
      </c>
      <c r="V651" t="s">
        <v>801</v>
      </c>
    </row>
    <row r="652" spans="1:22">
      <c r="A652" s="1" t="s">
        <v>672</v>
      </c>
      <c r="B652">
        <f>HYPERLINK("https://www.suredividend.com/sure-analysis-NTST/","Netstreit Corp")</f>
        <v>0</v>
      </c>
      <c r="C652">
        <v>23.83</v>
      </c>
      <c r="D652">
        <v>21</v>
      </c>
      <c r="E652">
        <v>1.134761904761905</v>
      </c>
      <c r="F652">
        <v>0.03357112882920689</v>
      </c>
      <c r="G652">
        <v>-0.02496759308727048</v>
      </c>
      <c r="H652">
        <v>0.07000000000000001</v>
      </c>
      <c r="I652">
        <v>0.07425224690562238</v>
      </c>
      <c r="J652" t="s">
        <v>777</v>
      </c>
      <c r="K652" t="s">
        <v>512</v>
      </c>
      <c r="L652">
        <v>0.9399999999999999</v>
      </c>
      <c r="M652">
        <v>0.8</v>
      </c>
      <c r="N652">
        <v>0.8510638297872342</v>
      </c>
      <c r="O652">
        <v>1</v>
      </c>
      <c r="P652">
        <v>0.04978904632428516</v>
      </c>
      <c r="Q652">
        <v>0.341668370012036</v>
      </c>
      <c r="R652" t="s">
        <v>781</v>
      </c>
      <c r="S652" t="s">
        <v>793</v>
      </c>
      <c r="T652">
        <v>936.336954</v>
      </c>
      <c r="U652" s="2">
        <v>44502</v>
      </c>
      <c r="V652" t="s">
        <v>801</v>
      </c>
    </row>
    <row r="653" spans="1:22">
      <c r="A653" s="1" t="s">
        <v>673</v>
      </c>
      <c r="B653">
        <f>HYPERLINK("https://www.suredividend.com/sure-analysis-EPR/","EPR Properties")</f>
        <v>0</v>
      </c>
      <c r="C653">
        <v>51.73</v>
      </c>
      <c r="D653">
        <v>39</v>
      </c>
      <c r="E653">
        <v>1.326410256410256</v>
      </c>
      <c r="F653">
        <v>0.05799342741156003</v>
      </c>
      <c r="G653">
        <v>-0.05492902413863021</v>
      </c>
      <c r="H653">
        <v>0.08</v>
      </c>
      <c r="I653">
        <v>0.07340358803979985</v>
      </c>
      <c r="J653" t="s">
        <v>777</v>
      </c>
      <c r="K653" t="s">
        <v>512</v>
      </c>
      <c r="L653">
        <v>2.8</v>
      </c>
      <c r="M653">
        <v>3</v>
      </c>
      <c r="N653">
        <v>1.071428571428571</v>
      </c>
      <c r="O653">
        <v>0</v>
      </c>
      <c r="P653">
        <v>0.03012896281839894</v>
      </c>
      <c r="Q653">
        <v>0.714911499816919</v>
      </c>
      <c r="R653" t="s">
        <v>781</v>
      </c>
      <c r="S653" t="s">
        <v>793</v>
      </c>
      <c r="T653">
        <v>3818.817355</v>
      </c>
      <c r="U653" s="2">
        <v>44428</v>
      </c>
      <c r="V653" t="s">
        <v>798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28.57</v>
      </c>
      <c r="D654">
        <v>29</v>
      </c>
      <c r="E654">
        <v>0.9851724137931035</v>
      </c>
      <c r="F654">
        <v>0.05530276513825692</v>
      </c>
      <c r="G654">
        <v>0.00299219044067045</v>
      </c>
      <c r="H654">
        <v>0.02</v>
      </c>
      <c r="I654">
        <v>0.07309428356198788</v>
      </c>
      <c r="J654" t="s">
        <v>777</v>
      </c>
      <c r="K654" t="s">
        <v>370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0.6750800439365251</v>
      </c>
      <c r="R654" t="s">
        <v>779</v>
      </c>
      <c r="S654" t="s">
        <v>792</v>
      </c>
      <c r="T654">
        <v>51686.202146</v>
      </c>
      <c r="U654" s="2">
        <v>44502</v>
      </c>
      <c r="V654" t="s">
        <v>802</v>
      </c>
    </row>
    <row r="655" spans="1:22">
      <c r="A655" s="1" t="s">
        <v>675</v>
      </c>
      <c r="B655">
        <f>HYPERLINK("https://www.suredividend.com/sure-analysis-NMFC/","New Mountain Finance Corp")</f>
        <v>0</v>
      </c>
      <c r="C655">
        <v>13.8</v>
      </c>
      <c r="D655">
        <v>14</v>
      </c>
      <c r="E655">
        <v>0.9857142857142858</v>
      </c>
      <c r="F655">
        <v>0.08695652173913043</v>
      </c>
      <c r="G655">
        <v>0.002881892180566226</v>
      </c>
      <c r="H655">
        <v>-0.005</v>
      </c>
      <c r="I655">
        <v>0.0722895343927481</v>
      </c>
      <c r="J655" t="s">
        <v>777</v>
      </c>
      <c r="K655" t="s">
        <v>370</v>
      </c>
      <c r="L655">
        <v>1.25</v>
      </c>
      <c r="M655">
        <v>1.2</v>
      </c>
      <c r="N655">
        <v>0.96</v>
      </c>
      <c r="O655">
        <v>0</v>
      </c>
      <c r="P655">
        <v>-0.005050763379468082</v>
      </c>
      <c r="Q655">
        <v>0.389766900468607</v>
      </c>
      <c r="R655" t="s">
        <v>782</v>
      </c>
      <c r="S655" t="s">
        <v>789</v>
      </c>
      <c r="T655">
        <v>1342.161784</v>
      </c>
      <c r="U655" s="2">
        <v>44509</v>
      </c>
      <c r="V655" t="s">
        <v>794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15.98</v>
      </c>
      <c r="D656">
        <v>15.87</v>
      </c>
      <c r="E656">
        <v>1.006931316950221</v>
      </c>
      <c r="F656">
        <v>0.08260325406758448</v>
      </c>
      <c r="G656">
        <v>-0.001380527354136629</v>
      </c>
      <c r="H656">
        <v>0</v>
      </c>
      <c r="I656">
        <v>0.07054581851349107</v>
      </c>
      <c r="J656" t="s">
        <v>777</v>
      </c>
      <c r="K656" t="s">
        <v>370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0.6190456794900511</v>
      </c>
      <c r="R656" t="s">
        <v>781</v>
      </c>
      <c r="S656" t="s">
        <v>793</v>
      </c>
      <c r="T656">
        <v>747.328954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HYPERLINK("https://www.suredividend.com/sure-analysis-ILPT/","Industrial Logistics Properties Trust")</f>
        <v>0</v>
      </c>
      <c r="C657">
        <v>25</v>
      </c>
      <c r="D657">
        <v>24</v>
      </c>
      <c r="E657">
        <v>1.041666666666667</v>
      </c>
      <c r="F657">
        <v>0.0528</v>
      </c>
      <c r="G657">
        <v>-0.008131160717433694</v>
      </c>
      <c r="H657">
        <v>0.03</v>
      </c>
      <c r="I657">
        <v>0.06861184229784834</v>
      </c>
      <c r="J657" t="s">
        <v>777</v>
      </c>
      <c r="K657" t="s">
        <v>370</v>
      </c>
      <c r="L657">
        <v>1.87</v>
      </c>
      <c r="M657">
        <v>1.32</v>
      </c>
      <c r="N657">
        <v>0.7058823529411765</v>
      </c>
      <c r="O657">
        <v>0</v>
      </c>
      <c r="P657">
        <v>0.02036554426441151</v>
      </c>
      <c r="Q657">
        <v>0.21718013381116</v>
      </c>
      <c r="R657" t="s">
        <v>781</v>
      </c>
      <c r="S657" t="s">
        <v>793</v>
      </c>
      <c r="T657">
        <v>1619.417698</v>
      </c>
      <c r="U657" s="2">
        <v>44498</v>
      </c>
      <c r="V657" t="s">
        <v>794</v>
      </c>
    </row>
    <row r="658" spans="1:22">
      <c r="A658" s="1" t="s">
        <v>678</v>
      </c>
      <c r="B658">
        <f>HYPERLINK("https://www.suredividend.com/sure-analysis-GBDC/","Golub Capital BDC Inc")</f>
        <v>0</v>
      </c>
      <c r="C658">
        <v>15.39</v>
      </c>
      <c r="D658">
        <v>15.6</v>
      </c>
      <c r="E658">
        <v>0.9865384615384616</v>
      </c>
      <c r="F658">
        <v>0.07537361923326835</v>
      </c>
      <c r="G658">
        <v>0.002714270260422813</v>
      </c>
      <c r="H658">
        <v>0</v>
      </c>
      <c r="I658">
        <v>0.06815685190653009</v>
      </c>
      <c r="J658" t="s">
        <v>777</v>
      </c>
      <c r="K658" t="s">
        <v>370</v>
      </c>
      <c r="L658">
        <v>1.2</v>
      </c>
      <c r="M658">
        <v>1.16</v>
      </c>
      <c r="N658">
        <v>0.9666666666666667</v>
      </c>
      <c r="O658">
        <v>0</v>
      </c>
      <c r="P658">
        <v>0</v>
      </c>
      <c r="Q658">
        <v>0.193779093066987</v>
      </c>
      <c r="R658" t="s">
        <v>782</v>
      </c>
      <c r="S658" t="s">
        <v>789</v>
      </c>
      <c r="T658">
        <v>2620.162265</v>
      </c>
      <c r="U658" s="2">
        <v>44418</v>
      </c>
      <c r="V658" t="s">
        <v>794</v>
      </c>
    </row>
    <row r="659" spans="1:22">
      <c r="A659" s="1" t="s">
        <v>679</v>
      </c>
      <c r="B659">
        <f>HYPERLINK("https://www.suredividend.com/sure-analysis-DTEGY/","Deutsche Telekom AG")</f>
        <v>0</v>
      </c>
      <c r="C659">
        <v>19.0805</v>
      </c>
      <c r="D659">
        <v>17</v>
      </c>
      <c r="E659">
        <v>1.122382352941176</v>
      </c>
      <c r="F659">
        <v>0.03773486019758392</v>
      </c>
      <c r="G659">
        <v>-0.02282615520507625</v>
      </c>
      <c r="H659">
        <v>0.06</v>
      </c>
      <c r="I659">
        <v>0.06765135954445434</v>
      </c>
      <c r="J659" t="s">
        <v>777</v>
      </c>
      <c r="K659" t="s">
        <v>512</v>
      </c>
      <c r="L659">
        <v>1.1</v>
      </c>
      <c r="M659">
        <v>0.72</v>
      </c>
      <c r="N659">
        <v>0.6545454545454544</v>
      </c>
      <c r="O659">
        <v>1</v>
      </c>
      <c r="P659">
        <v>0.01087212085035083</v>
      </c>
      <c r="Q659">
        <v>0.131697951725015</v>
      </c>
      <c r="R659" t="s">
        <v>779</v>
      </c>
      <c r="S659" t="s">
        <v>783</v>
      </c>
      <c r="T659">
        <v>97584.994724</v>
      </c>
      <c r="U659" s="2">
        <v>44439</v>
      </c>
      <c r="V659" t="s">
        <v>802</v>
      </c>
    </row>
    <row r="660" spans="1:22">
      <c r="A660" s="1" t="s">
        <v>680</v>
      </c>
      <c r="B660">
        <f>HYPERLINK("https://www.suredividend.com/sure-analysis-EIFZF/","Exchange Income Corp.")</f>
        <v>0</v>
      </c>
      <c r="C660">
        <v>36.84</v>
      </c>
      <c r="D660">
        <v>29</v>
      </c>
      <c r="E660">
        <v>1.270344827586207</v>
      </c>
      <c r="F660">
        <v>0.04967426710097719</v>
      </c>
      <c r="G660">
        <v>-0.04673054972256463</v>
      </c>
      <c r="H660">
        <v>0.07000000000000001</v>
      </c>
      <c r="I660">
        <v>0.06717870974668205</v>
      </c>
      <c r="J660" t="s">
        <v>777</v>
      </c>
      <c r="K660" t="s">
        <v>512</v>
      </c>
      <c r="L660">
        <v>1.9</v>
      </c>
      <c r="M660">
        <v>1.83</v>
      </c>
      <c r="N660">
        <v>0.9631578947368422</v>
      </c>
      <c r="O660">
        <v>0</v>
      </c>
      <c r="P660">
        <v>0.04032911905890546</v>
      </c>
      <c r="Q660">
        <v>0.365573918867548</v>
      </c>
      <c r="R660" t="s">
        <v>779</v>
      </c>
      <c r="S660" t="s">
        <v>786</v>
      </c>
      <c r="T660">
        <v>1440.447024</v>
      </c>
      <c r="U660" s="2">
        <v>44422</v>
      </c>
      <c r="V660" t="s">
        <v>794</v>
      </c>
    </row>
    <row r="661" spans="1:22">
      <c r="A661" s="1" t="s">
        <v>681</v>
      </c>
      <c r="B661">
        <f>HYPERLINK("https://www.suredividend.com/sure-analysis-XRX/","Xerox Holdings Corp")</f>
        <v>0</v>
      </c>
      <c r="C661">
        <v>19.87</v>
      </c>
      <c r="D661">
        <v>16</v>
      </c>
      <c r="E661">
        <v>1.241875</v>
      </c>
      <c r="F661">
        <v>0.05032712632108707</v>
      </c>
      <c r="G661">
        <v>-0.04239937002004801</v>
      </c>
      <c r="H661">
        <v>0.07000000000000001</v>
      </c>
      <c r="I661">
        <v>0.06669403850044997</v>
      </c>
      <c r="J661" t="s">
        <v>777</v>
      </c>
      <c r="K661" t="s">
        <v>370</v>
      </c>
      <c r="L661">
        <v>1.6</v>
      </c>
      <c r="M661">
        <v>1</v>
      </c>
      <c r="N661">
        <v>0.625</v>
      </c>
      <c r="O661">
        <v>0</v>
      </c>
      <c r="P661">
        <v>0</v>
      </c>
      <c r="Q661">
        <v>-0.025718520521226</v>
      </c>
      <c r="R661" t="s">
        <v>779</v>
      </c>
      <c r="S661" t="s">
        <v>785</v>
      </c>
      <c r="T661">
        <v>3602.37329</v>
      </c>
      <c r="U661" s="2">
        <v>44512</v>
      </c>
      <c r="V661" t="s">
        <v>798</v>
      </c>
    </row>
    <row r="662" spans="1:22">
      <c r="A662" s="1" t="s">
        <v>682</v>
      </c>
      <c r="B662">
        <f>HYPERLINK("https://www.suredividend.com/sure-analysis-FDUS/","Fidus Investment Corp")</f>
        <v>0</v>
      </c>
      <c r="C662">
        <v>17.86</v>
      </c>
      <c r="D662">
        <v>17.97</v>
      </c>
      <c r="E662">
        <v>0.9938786867000556</v>
      </c>
      <c r="F662">
        <v>0.07166853303471445</v>
      </c>
      <c r="G662">
        <v>0.001228779400956226</v>
      </c>
      <c r="H662">
        <v>0</v>
      </c>
      <c r="I662">
        <v>0.06413031341888842</v>
      </c>
      <c r="J662" t="s">
        <v>777</v>
      </c>
      <c r="K662" t="s">
        <v>370</v>
      </c>
      <c r="L662">
        <v>1.51</v>
      </c>
      <c r="M662">
        <v>1.28</v>
      </c>
      <c r="N662">
        <v>0.847682119205298</v>
      </c>
      <c r="O662">
        <v>0</v>
      </c>
      <c r="P662">
        <v>0</v>
      </c>
      <c r="Q662">
        <v>0.530733866848288</v>
      </c>
      <c r="R662" t="s">
        <v>782</v>
      </c>
      <c r="S662" t="s">
        <v>789</v>
      </c>
      <c r="T662">
        <v>439.384452</v>
      </c>
      <c r="U662" s="2">
        <v>44513</v>
      </c>
      <c r="V662" t="s">
        <v>794</v>
      </c>
    </row>
    <row r="663" spans="1:22">
      <c r="A663" s="1" t="s">
        <v>683</v>
      </c>
      <c r="B663">
        <f>HYPERLINK("https://www.suredividend.com/sure-analysis-SACH/","Sachem Capital Corp")</f>
        <v>0</v>
      </c>
      <c r="C663">
        <v>5.93</v>
      </c>
      <c r="D663">
        <v>5.15</v>
      </c>
      <c r="E663">
        <v>1.151456310679611</v>
      </c>
      <c r="F663">
        <v>0.08094435075885328</v>
      </c>
      <c r="G663">
        <v>-0.02781143815349996</v>
      </c>
      <c r="H663">
        <v>0.02</v>
      </c>
      <c r="I663">
        <v>0.06398616792326894</v>
      </c>
      <c r="J663" t="s">
        <v>777</v>
      </c>
      <c r="K663" t="s">
        <v>370</v>
      </c>
      <c r="L663">
        <v>0.46</v>
      </c>
      <c r="M663">
        <v>0.48</v>
      </c>
      <c r="N663">
        <v>1.043478260869565</v>
      </c>
      <c r="O663">
        <v>0</v>
      </c>
      <c r="P663">
        <v>0</v>
      </c>
      <c r="Q663">
        <v>0.5786578657865781</v>
      </c>
      <c r="R663" t="s">
        <v>781</v>
      </c>
      <c r="S663" t="s">
        <v>793</v>
      </c>
      <c r="T663">
        <v>169.004071</v>
      </c>
      <c r="U663" s="2">
        <v>44427</v>
      </c>
      <c r="V663" t="s">
        <v>794</v>
      </c>
    </row>
    <row r="664" spans="1:22">
      <c r="A664" s="1" t="s">
        <v>684</v>
      </c>
      <c r="B664">
        <f>HYPERLINK("https://www.suredividend.com/sure-analysis-GSK/","Glaxosmithkline plc")</f>
        <v>0</v>
      </c>
      <c r="C664">
        <v>43.17</v>
      </c>
      <c r="D664">
        <v>40</v>
      </c>
      <c r="E664">
        <v>1.07925</v>
      </c>
      <c r="F664">
        <v>0.05096131572851517</v>
      </c>
      <c r="G664">
        <v>-0.01513752917938349</v>
      </c>
      <c r="H664">
        <v>0.03</v>
      </c>
      <c r="I664">
        <v>0.06229859839444885</v>
      </c>
      <c r="J664" t="s">
        <v>777</v>
      </c>
      <c r="K664" t="s">
        <v>370</v>
      </c>
      <c r="L664">
        <v>2.9</v>
      </c>
      <c r="M664">
        <v>2.2</v>
      </c>
      <c r="N664">
        <v>0.7586206896551725</v>
      </c>
      <c r="O664">
        <v>3</v>
      </c>
      <c r="P664">
        <v>0.02996744995959233</v>
      </c>
      <c r="Q664">
        <v>0.182818578108035</v>
      </c>
      <c r="R664" t="s">
        <v>779</v>
      </c>
      <c r="S664" t="s">
        <v>784</v>
      </c>
      <c r="T664">
        <v>109073.731886</v>
      </c>
      <c r="U664" s="2">
        <v>44496</v>
      </c>
      <c r="V664" t="s">
        <v>795</v>
      </c>
    </row>
    <row r="665" spans="1:22">
      <c r="A665" s="1" t="s">
        <v>685</v>
      </c>
      <c r="B665">
        <f>HYPERLINK("https://www.suredividend.com/sure-analysis-LWSCF/","Sienna Senior Living, Inc.")</f>
        <v>0</v>
      </c>
      <c r="C665">
        <v>12.07</v>
      </c>
      <c r="D665">
        <v>12.5</v>
      </c>
      <c r="E665">
        <v>0.9656</v>
      </c>
      <c r="F665">
        <v>0.06213753106876553</v>
      </c>
      <c r="G665">
        <v>0.00702568698767303</v>
      </c>
      <c r="H665">
        <v>0</v>
      </c>
      <c r="I665">
        <v>0.06127814057343128</v>
      </c>
      <c r="J665" t="s">
        <v>777</v>
      </c>
      <c r="K665" t="s">
        <v>370</v>
      </c>
      <c r="L665">
        <v>1</v>
      </c>
      <c r="M665">
        <v>0.75</v>
      </c>
      <c r="N665">
        <v>0.75</v>
      </c>
      <c r="O665">
        <v>0</v>
      </c>
      <c r="P665">
        <v>0</v>
      </c>
      <c r="Q665">
        <v>0.246861924686192</v>
      </c>
      <c r="R665" t="s">
        <v>779</v>
      </c>
      <c r="S665" t="s">
        <v>784</v>
      </c>
      <c r="T665">
        <v>799.106346</v>
      </c>
      <c r="U665" s="2">
        <v>44422</v>
      </c>
      <c r="V665" t="s">
        <v>794</v>
      </c>
    </row>
    <row r="666" spans="1:22">
      <c r="A666" s="1" t="s">
        <v>686</v>
      </c>
      <c r="B666">
        <f>HYPERLINK("https://www.suredividend.com/sure-analysis-CBRL/","Cracker Barrel Old Country Store Inc")</f>
        <v>0</v>
      </c>
      <c r="C666">
        <v>143.95</v>
      </c>
      <c r="D666">
        <v>128</v>
      </c>
      <c r="E666">
        <v>1.124609375</v>
      </c>
      <c r="F666">
        <v>0.03612365404654394</v>
      </c>
      <c r="G666">
        <v>-0.02321347431807974</v>
      </c>
      <c r="H666">
        <v>0.052</v>
      </c>
      <c r="I666">
        <v>0.06070611397109071</v>
      </c>
      <c r="J666" t="s">
        <v>777</v>
      </c>
      <c r="K666" t="s">
        <v>512</v>
      </c>
      <c r="L666">
        <v>8.52</v>
      </c>
      <c r="M666">
        <v>5.2</v>
      </c>
      <c r="N666">
        <v>0.6103286384976526</v>
      </c>
      <c r="O666">
        <v>0</v>
      </c>
      <c r="P666">
        <v>0.02903366107118788</v>
      </c>
      <c r="Q666">
        <v>0.134966223762576</v>
      </c>
      <c r="R666" t="s">
        <v>779</v>
      </c>
      <c r="S666" t="s">
        <v>790</v>
      </c>
      <c r="T666">
        <v>3404.752736</v>
      </c>
      <c r="U666" s="2">
        <v>44466</v>
      </c>
      <c r="V666" t="s">
        <v>804</v>
      </c>
    </row>
    <row r="667" spans="1:22">
      <c r="A667" s="1" t="s">
        <v>687</v>
      </c>
      <c r="B667">
        <f>HYPERLINK("https://www.suredividend.com/sure-analysis-ARR/","ARMOUR Residential REIT Inc")</f>
        <v>0</v>
      </c>
      <c r="C667">
        <v>10.38</v>
      </c>
      <c r="D667">
        <v>6.7</v>
      </c>
      <c r="E667">
        <v>1.549253731343284</v>
      </c>
      <c r="F667">
        <v>0.115606936416185</v>
      </c>
      <c r="G667">
        <v>-0.08383121691134288</v>
      </c>
      <c r="H667">
        <v>0.046</v>
      </c>
      <c r="I667">
        <v>0.06061973276365573</v>
      </c>
      <c r="J667" t="s">
        <v>777</v>
      </c>
      <c r="K667" t="s">
        <v>370</v>
      </c>
      <c r="L667">
        <v>0.96</v>
      </c>
      <c r="M667">
        <v>1.2</v>
      </c>
      <c r="N667">
        <v>1.25</v>
      </c>
      <c r="O667">
        <v>0</v>
      </c>
      <c r="P667">
        <v>-0.0263528193848318</v>
      </c>
      <c r="Q667">
        <v>0.144954769916531</v>
      </c>
      <c r="R667" t="s">
        <v>781</v>
      </c>
      <c r="S667" t="s">
        <v>793</v>
      </c>
      <c r="T667">
        <v>939.941024</v>
      </c>
      <c r="U667" s="2">
        <v>44503</v>
      </c>
      <c r="V667" t="s">
        <v>804</v>
      </c>
    </row>
    <row r="668" spans="1:22">
      <c r="A668" s="1" t="s">
        <v>688</v>
      </c>
      <c r="B668">
        <f>HYPERLINK("https://www.suredividend.com/sure-analysis-TSLX/","Sixth Street Specialty Lending Inc")</f>
        <v>0</v>
      </c>
      <c r="C668">
        <v>24.48</v>
      </c>
      <c r="D668">
        <v>21.78</v>
      </c>
      <c r="E668">
        <v>1.12396694214876</v>
      </c>
      <c r="F668">
        <v>0.06699346405228758</v>
      </c>
      <c r="G668">
        <v>-0.0231018382355157</v>
      </c>
      <c r="H668">
        <v>0.02</v>
      </c>
      <c r="I668">
        <v>0.05993794542152941</v>
      </c>
      <c r="J668" t="s">
        <v>777</v>
      </c>
      <c r="K668" t="s">
        <v>370</v>
      </c>
      <c r="L668">
        <v>1.98</v>
      </c>
      <c r="M668">
        <v>1.64</v>
      </c>
      <c r="N668">
        <v>0.8282828282828283</v>
      </c>
      <c r="O668">
        <v>6</v>
      </c>
      <c r="P668">
        <v>0.01992196624507558</v>
      </c>
      <c r="Q668">
        <v>0.448460048913655</v>
      </c>
      <c r="R668" t="s">
        <v>782</v>
      </c>
      <c r="S668" t="s">
        <v>789</v>
      </c>
      <c r="T668">
        <v>1788.115719</v>
      </c>
      <c r="U668" s="2">
        <v>44504</v>
      </c>
      <c r="V668" t="s">
        <v>794</v>
      </c>
    </row>
    <row r="669" spans="1:22">
      <c r="A669" s="1" t="s">
        <v>689</v>
      </c>
      <c r="B669">
        <f>HYPERLINK("https://www.suredividend.com/sure-analysis-SFL/","SFL Corporation Ltd")</f>
        <v>0</v>
      </c>
      <c r="C669">
        <v>9.029999999999999</v>
      </c>
      <c r="D669">
        <v>7.57</v>
      </c>
      <c r="E669">
        <v>1.192866578599736</v>
      </c>
      <c r="F669">
        <v>0.0664451827242525</v>
      </c>
      <c r="G669">
        <v>-0.034657057547265</v>
      </c>
      <c r="H669">
        <v>0.03</v>
      </c>
      <c r="I669">
        <v>0.05974311239733954</v>
      </c>
      <c r="J669" t="s">
        <v>777</v>
      </c>
      <c r="K669" t="s">
        <v>370</v>
      </c>
      <c r="L669">
        <v>0.89</v>
      </c>
      <c r="M669">
        <v>0.6</v>
      </c>
      <c r="N669">
        <v>0.6741573033707865</v>
      </c>
      <c r="O669">
        <v>0</v>
      </c>
      <c r="P669">
        <v>0.03131030647754507</v>
      </c>
      <c r="Q669">
        <v>0.430576804782259</v>
      </c>
      <c r="R669" t="s">
        <v>779</v>
      </c>
      <c r="S669" t="s">
        <v>786</v>
      </c>
      <c r="T669">
        <v>1162.09443</v>
      </c>
      <c r="U669" s="2">
        <v>44428</v>
      </c>
      <c r="V669" t="s">
        <v>794</v>
      </c>
    </row>
    <row r="670" spans="1:22">
      <c r="A670" s="1" t="s">
        <v>690</v>
      </c>
      <c r="B670">
        <f>HYPERLINK("https://www.suredividend.com/sure-analysis-IDEXY/","Industria De Diseno Textil SA")</f>
        <v>0</v>
      </c>
      <c r="C670">
        <v>18.12</v>
      </c>
      <c r="D670">
        <v>13.5</v>
      </c>
      <c r="E670">
        <v>1.342222222222222</v>
      </c>
      <c r="F670">
        <v>0.02317880794701986</v>
      </c>
      <c r="G670">
        <v>-0.05716626140574987</v>
      </c>
      <c r="H670">
        <v>0.1</v>
      </c>
      <c r="I670">
        <v>0.05948531823441838</v>
      </c>
      <c r="J670" t="s">
        <v>777</v>
      </c>
      <c r="K670" t="s">
        <v>777</v>
      </c>
      <c r="L670">
        <v>0.54</v>
      </c>
      <c r="M670">
        <v>0.42</v>
      </c>
      <c r="N670">
        <v>0.7777777777777777</v>
      </c>
      <c r="O670">
        <v>0</v>
      </c>
      <c r="P670">
        <v>0.05154749679728043</v>
      </c>
      <c r="Q670">
        <v>0.136264421577798</v>
      </c>
      <c r="R670" t="s">
        <v>779</v>
      </c>
      <c r="S670" t="s">
        <v>790</v>
      </c>
      <c r="T670">
        <v>113570.79888</v>
      </c>
      <c r="U670" s="2">
        <v>44458</v>
      </c>
      <c r="V670" t="s">
        <v>794</v>
      </c>
    </row>
    <row r="671" spans="1:22">
      <c r="A671" s="1" t="s">
        <v>691</v>
      </c>
      <c r="B671">
        <f>HYPERLINK("https://www.suredividend.com/sure-analysis-VST/","Vistra Corp")</f>
        <v>0</v>
      </c>
      <c r="C671">
        <v>20.46</v>
      </c>
      <c r="D671">
        <v>16</v>
      </c>
      <c r="E671">
        <v>1.27875</v>
      </c>
      <c r="F671">
        <v>0.02932551319648094</v>
      </c>
      <c r="G671">
        <v>-0.04798701793108662</v>
      </c>
      <c r="H671">
        <v>0.08</v>
      </c>
      <c r="I671">
        <v>0.0594292599282138</v>
      </c>
      <c r="J671" t="s">
        <v>777</v>
      </c>
      <c r="K671" t="s">
        <v>777</v>
      </c>
      <c r="L671">
        <v>-1.34</v>
      </c>
      <c r="M671">
        <v>0.6</v>
      </c>
      <c r="N671">
        <v>9.99</v>
      </c>
      <c r="O671">
        <v>1</v>
      </c>
      <c r="P671">
        <v>0.0796084730466029</v>
      </c>
      <c r="Q671">
        <v>0.028461965225947</v>
      </c>
      <c r="R671" t="s">
        <v>779</v>
      </c>
      <c r="S671" t="s">
        <v>791</v>
      </c>
      <c r="T671">
        <v>9483.630768000001</v>
      </c>
      <c r="U671" s="2">
        <v>44414</v>
      </c>
      <c r="V671" t="s">
        <v>801</v>
      </c>
    </row>
    <row r="672" spans="1:22">
      <c r="A672" s="1" t="s">
        <v>692</v>
      </c>
      <c r="B672">
        <f>HYPERLINK("https://www.suredividend.com/sure-analysis-CSWC/","Capital Southwest Corp.")</f>
        <v>0</v>
      </c>
      <c r="C672">
        <v>27.72</v>
      </c>
      <c r="D672">
        <v>23</v>
      </c>
      <c r="E672">
        <v>1.205217391304348</v>
      </c>
      <c r="F672">
        <v>0.06782106782106782</v>
      </c>
      <c r="G672">
        <v>-0.03664374400708137</v>
      </c>
      <c r="H672">
        <v>0.03</v>
      </c>
      <c r="I672">
        <v>0.05914097066216129</v>
      </c>
      <c r="J672" t="s">
        <v>777</v>
      </c>
      <c r="K672" t="s">
        <v>370</v>
      </c>
      <c r="L672">
        <v>1.65</v>
      </c>
      <c r="M672">
        <v>1.88</v>
      </c>
      <c r="N672">
        <v>1.139393939393939</v>
      </c>
      <c r="O672">
        <v>5</v>
      </c>
      <c r="P672">
        <v>0.03005337366563188</v>
      </c>
      <c r="Q672">
        <v>0.8538454767659941</v>
      </c>
      <c r="R672" t="s">
        <v>782</v>
      </c>
      <c r="S672" t="s">
        <v>789</v>
      </c>
      <c r="T672">
        <v>639.077648</v>
      </c>
      <c r="U672" s="2">
        <v>44504</v>
      </c>
      <c r="V672" t="s">
        <v>794</v>
      </c>
    </row>
    <row r="673" spans="1:22">
      <c r="A673" s="1" t="s">
        <v>693</v>
      </c>
      <c r="B673">
        <f>HYPERLINK("https://www.suredividend.com/sure-analysis-GMRE/","Global Medical REIT Inc")</f>
        <v>0</v>
      </c>
      <c r="C673">
        <v>16.82</v>
      </c>
      <c r="D673">
        <v>14.25</v>
      </c>
      <c r="E673">
        <v>1.180350877192982</v>
      </c>
      <c r="F673">
        <v>0.04875148632580261</v>
      </c>
      <c r="G673">
        <v>-0.03261850712603165</v>
      </c>
      <c r="H673">
        <v>0.05</v>
      </c>
      <c r="I673">
        <v>0.0590309150278181</v>
      </c>
      <c r="J673" t="s">
        <v>777</v>
      </c>
      <c r="K673" t="s">
        <v>512</v>
      </c>
      <c r="L673">
        <v>0.95</v>
      </c>
      <c r="M673">
        <v>0.82</v>
      </c>
      <c r="N673">
        <v>0.8631578947368421</v>
      </c>
      <c r="O673">
        <v>1</v>
      </c>
      <c r="P673">
        <v>0.009571122817161548</v>
      </c>
      <c r="Q673">
        <v>0.244337148307105</v>
      </c>
      <c r="R673" t="s">
        <v>781</v>
      </c>
      <c r="S673" t="s">
        <v>793</v>
      </c>
      <c r="T673">
        <v>1072.272314</v>
      </c>
      <c r="U673" s="2">
        <v>44504</v>
      </c>
      <c r="V673" t="s">
        <v>794</v>
      </c>
    </row>
    <row r="674" spans="1:22">
      <c r="A674" s="1" t="s">
        <v>694</v>
      </c>
      <c r="B674">
        <f>HYPERLINK("https://www.suredividend.com/sure-analysis-NSA/","National Storage Affiliates Trust")</f>
        <v>0</v>
      </c>
      <c r="C674">
        <v>61.95</v>
      </c>
      <c r="D674">
        <v>49</v>
      </c>
      <c r="E674">
        <v>1.264285714285714</v>
      </c>
      <c r="F674">
        <v>0.0264729620661824</v>
      </c>
      <c r="G674">
        <v>-0.04581858390675397</v>
      </c>
      <c r="H674">
        <v>0.08</v>
      </c>
      <c r="I674">
        <v>0.0579073507968384</v>
      </c>
      <c r="J674" t="s">
        <v>777</v>
      </c>
      <c r="K674" t="s">
        <v>512</v>
      </c>
      <c r="L674">
        <v>2.21</v>
      </c>
      <c r="M674">
        <v>1.64</v>
      </c>
      <c r="N674">
        <v>0.7420814479638008</v>
      </c>
      <c r="O674">
        <v>6</v>
      </c>
      <c r="P674">
        <v>0.06998280282640246</v>
      </c>
      <c r="Q674">
        <v>0.753772998031479</v>
      </c>
      <c r="R674" t="s">
        <v>781</v>
      </c>
      <c r="S674" t="s">
        <v>793</v>
      </c>
      <c r="T674">
        <v>5499.093574</v>
      </c>
      <c r="U674" s="2">
        <v>44505</v>
      </c>
      <c r="V674" t="s">
        <v>794</v>
      </c>
    </row>
    <row r="675" spans="1:22">
      <c r="A675" s="1" t="s">
        <v>695</v>
      </c>
      <c r="B675">
        <f>HYPERLINK("https://www.suredividend.com/sure-analysis-STWD/","Starwood Property Trust Inc")</f>
        <v>0</v>
      </c>
      <c r="C675">
        <v>26.2</v>
      </c>
      <c r="D675">
        <v>25</v>
      </c>
      <c r="E675">
        <v>1.048</v>
      </c>
      <c r="F675">
        <v>0.07328244274809161</v>
      </c>
      <c r="G675">
        <v>-0.009332892850314911</v>
      </c>
      <c r="H675">
        <v>0</v>
      </c>
      <c r="I675">
        <v>0.05719466169405418</v>
      </c>
      <c r="J675" t="s">
        <v>777</v>
      </c>
      <c r="K675" t="s">
        <v>370</v>
      </c>
      <c r="L675">
        <v>2</v>
      </c>
      <c r="M675">
        <v>1.92</v>
      </c>
      <c r="N675">
        <v>0.96</v>
      </c>
      <c r="O675">
        <v>0</v>
      </c>
      <c r="P675">
        <v>0</v>
      </c>
      <c r="Q675">
        <v>0.700248197150618</v>
      </c>
      <c r="R675" t="s">
        <v>781</v>
      </c>
      <c r="S675" t="s">
        <v>793</v>
      </c>
      <c r="T675">
        <v>7532.361812</v>
      </c>
      <c r="U675" s="2">
        <v>44509</v>
      </c>
      <c r="V675" t="s">
        <v>794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10.04</v>
      </c>
      <c r="D676">
        <v>7.8</v>
      </c>
      <c r="E676">
        <v>1.287179487179487</v>
      </c>
      <c r="F676">
        <v>0.08366533864541834</v>
      </c>
      <c r="G676">
        <v>-0.04923720656472785</v>
      </c>
      <c r="H676">
        <v>0.03</v>
      </c>
      <c r="I676">
        <v>0.05692991385230628</v>
      </c>
      <c r="J676" t="s">
        <v>777</v>
      </c>
      <c r="K676" t="s">
        <v>370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0.06992131995843301</v>
      </c>
      <c r="R676" t="s">
        <v>781</v>
      </c>
      <c r="S676" t="s">
        <v>793</v>
      </c>
      <c r="T676">
        <v>1338.860696</v>
      </c>
      <c r="U676" s="2">
        <v>44509</v>
      </c>
      <c r="V676" t="s">
        <v>795</v>
      </c>
    </row>
    <row r="677" spans="1:22">
      <c r="A677" s="1" t="s">
        <v>697</v>
      </c>
      <c r="B677">
        <f>HYPERLINK("https://www.suredividend.com/sure-analysis-NEM/","Newmont Corp")</f>
        <v>0</v>
      </c>
      <c r="C677">
        <v>58.97</v>
      </c>
      <c r="D677">
        <v>56</v>
      </c>
      <c r="E677">
        <v>1.053035714285714</v>
      </c>
      <c r="F677">
        <v>0.03730710530778363</v>
      </c>
      <c r="G677">
        <v>-0.01028220283285286</v>
      </c>
      <c r="H677">
        <v>0.03</v>
      </c>
      <c r="I677">
        <v>0.05568367783828077</v>
      </c>
      <c r="J677" t="s">
        <v>777</v>
      </c>
      <c r="K677" t="s">
        <v>512</v>
      </c>
      <c r="L677">
        <v>3.1</v>
      </c>
      <c r="M677">
        <v>2.2</v>
      </c>
      <c r="N677">
        <v>0.7096774193548387</v>
      </c>
      <c r="O677">
        <v>6</v>
      </c>
      <c r="P677">
        <v>0.04026125343417397</v>
      </c>
      <c r="Q677">
        <v>-0.075896685469722</v>
      </c>
      <c r="R677" t="s">
        <v>779</v>
      </c>
      <c r="S677" t="s">
        <v>787</v>
      </c>
      <c r="T677">
        <v>46833.375404</v>
      </c>
      <c r="U677" s="2">
        <v>44502</v>
      </c>
      <c r="V677" t="s">
        <v>797</v>
      </c>
    </row>
    <row r="678" spans="1:22">
      <c r="A678" s="1" t="s">
        <v>698</v>
      </c>
      <c r="B678">
        <f>HYPERLINK("https://www.suredividend.com/sure-analysis-EIC/","Eagle Point Income Company Inc")</f>
        <v>0</v>
      </c>
      <c r="C678">
        <v>18.09</v>
      </c>
      <c r="D678">
        <v>14.56</v>
      </c>
      <c r="E678">
        <v>1.242445054945055</v>
      </c>
      <c r="F678">
        <v>0.07960199004975124</v>
      </c>
      <c r="G678">
        <v>-0.04248725884610938</v>
      </c>
      <c r="H678">
        <v>0.02</v>
      </c>
      <c r="I678">
        <v>0.05568242208820662</v>
      </c>
      <c r="J678" t="s">
        <v>777</v>
      </c>
      <c r="K678" t="s">
        <v>370</v>
      </c>
      <c r="L678">
        <v>1.12</v>
      </c>
      <c r="M678">
        <v>1.44</v>
      </c>
      <c r="N678">
        <v>1.285714285714286</v>
      </c>
      <c r="O678">
        <v>1</v>
      </c>
      <c r="P678">
        <v>0.02001586442069092</v>
      </c>
      <c r="Q678">
        <v>0.428582829870948</v>
      </c>
      <c r="R678" t="s">
        <v>779</v>
      </c>
      <c r="S678" t="s">
        <v>789</v>
      </c>
      <c r="T678">
        <v>109.305598</v>
      </c>
      <c r="U678" s="2">
        <v>44428</v>
      </c>
      <c r="V678" t="s">
        <v>794</v>
      </c>
    </row>
    <row r="679" spans="1:22">
      <c r="A679" s="1" t="s">
        <v>699</v>
      </c>
      <c r="B679">
        <f>HYPERLINK("https://www.suredividend.com/sure-analysis-BEP/","Brookfield Renewable Partners LP")</f>
        <v>0</v>
      </c>
      <c r="C679">
        <v>38.31</v>
      </c>
      <c r="D679">
        <v>32</v>
      </c>
      <c r="E679">
        <v>1.1971875</v>
      </c>
      <c r="F679">
        <v>0.03184547115635604</v>
      </c>
      <c r="G679">
        <v>-0.03535489409055936</v>
      </c>
      <c r="H679">
        <v>0.06</v>
      </c>
      <c r="I679">
        <v>0.05432564474221935</v>
      </c>
      <c r="J679" t="s">
        <v>777</v>
      </c>
      <c r="K679" t="s">
        <v>512</v>
      </c>
      <c r="L679">
        <v>1.9</v>
      </c>
      <c r="M679">
        <v>1.22</v>
      </c>
      <c r="N679">
        <v>0.6421052631578947</v>
      </c>
      <c r="O679">
        <v>0</v>
      </c>
      <c r="P679">
        <v>0.05039574430966676</v>
      </c>
      <c r="Q679">
        <v>0.029563680124389</v>
      </c>
      <c r="R679" t="s">
        <v>780</v>
      </c>
      <c r="S679" t="s">
        <v>791</v>
      </c>
      <c r="T679">
        <v>10634.617597</v>
      </c>
      <c r="U679" s="2">
        <v>44439</v>
      </c>
      <c r="V679" t="s">
        <v>802</v>
      </c>
    </row>
    <row r="680" spans="1:22">
      <c r="A680" s="1" t="s">
        <v>700</v>
      </c>
      <c r="B680">
        <f>HYPERLINK("https://www.suredividend.com/sure-analysis-VTR/","Ventas Inc")</f>
        <v>0</v>
      </c>
      <c r="C680">
        <v>54.37</v>
      </c>
      <c r="D680">
        <v>41</v>
      </c>
      <c r="E680">
        <v>1.32609756097561</v>
      </c>
      <c r="F680">
        <v>0.03310649255103918</v>
      </c>
      <c r="G680">
        <v>-0.05488445856235979</v>
      </c>
      <c r="H680">
        <v>0.08</v>
      </c>
      <c r="I680">
        <v>0.05407881022785532</v>
      </c>
      <c r="J680" t="s">
        <v>777</v>
      </c>
      <c r="K680" t="s">
        <v>512</v>
      </c>
      <c r="L680">
        <v>2.9</v>
      </c>
      <c r="M680">
        <v>1.8</v>
      </c>
      <c r="N680">
        <v>0.6206896551724138</v>
      </c>
      <c r="O680">
        <v>0</v>
      </c>
      <c r="P680">
        <v>0.05206626739843068</v>
      </c>
      <c r="Q680">
        <v>0.125925803635733</v>
      </c>
      <c r="R680" t="s">
        <v>781</v>
      </c>
      <c r="S680" t="s">
        <v>793</v>
      </c>
      <c r="T680">
        <v>21779.036668</v>
      </c>
      <c r="U680" s="2">
        <v>44435</v>
      </c>
      <c r="V680" t="s">
        <v>802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48.17</v>
      </c>
      <c r="D681">
        <v>49</v>
      </c>
      <c r="E681">
        <v>0.9830612244897959</v>
      </c>
      <c r="F681">
        <v>0.05563628814614906</v>
      </c>
      <c r="G681">
        <v>0.003422619324877418</v>
      </c>
      <c r="H681">
        <v>-0.001</v>
      </c>
      <c r="I681">
        <v>0.05351149052861381</v>
      </c>
      <c r="J681" t="s">
        <v>777</v>
      </c>
      <c r="K681" t="s">
        <v>370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0.199305665141234</v>
      </c>
      <c r="R681" t="s">
        <v>781</v>
      </c>
      <c r="S681" t="s">
        <v>793</v>
      </c>
      <c r="T681">
        <v>11412.251051</v>
      </c>
      <c r="U681" s="2">
        <v>44506</v>
      </c>
      <c r="V681" t="s">
        <v>804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34.24</v>
      </c>
      <c r="D682">
        <v>29</v>
      </c>
      <c r="E682">
        <v>1.180689655172414</v>
      </c>
      <c r="F682">
        <v>0.04497663551401869</v>
      </c>
      <c r="G682">
        <v>-0.03267402809494691</v>
      </c>
      <c r="H682">
        <v>0.04</v>
      </c>
      <c r="I682">
        <v>0.05333766202662726</v>
      </c>
      <c r="J682" t="s">
        <v>777</v>
      </c>
      <c r="K682" t="s">
        <v>370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0.13551774558022</v>
      </c>
      <c r="R682" t="s">
        <v>781</v>
      </c>
      <c r="S682" t="s">
        <v>793</v>
      </c>
      <c r="T682">
        <v>9317.281002</v>
      </c>
      <c r="U682" s="2">
        <v>44439</v>
      </c>
      <c r="V682" t="s">
        <v>799</v>
      </c>
    </row>
    <row r="683" spans="1:22">
      <c r="A683" s="1" t="s">
        <v>703</v>
      </c>
      <c r="B683">
        <f>HYPERLINK("https://www.suredividend.com/sure-analysis-PFLT/","PennantPark Floating Rate Capital Ltd")</f>
        <v>0</v>
      </c>
      <c r="C683">
        <v>13.705</v>
      </c>
      <c r="D683">
        <v>12</v>
      </c>
      <c r="E683">
        <v>1.142083333333333</v>
      </c>
      <c r="F683">
        <v>0.08318132068588106</v>
      </c>
      <c r="G683">
        <v>-0.02622091773924085</v>
      </c>
      <c r="H683">
        <v>0.001</v>
      </c>
      <c r="I683">
        <v>0.05320611449740897</v>
      </c>
      <c r="J683" t="s">
        <v>777</v>
      </c>
      <c r="K683" t="s">
        <v>370</v>
      </c>
      <c r="L683">
        <v>1.62</v>
      </c>
      <c r="M683">
        <v>1.14</v>
      </c>
      <c r="N683">
        <v>0.7037037037037036</v>
      </c>
      <c r="O683">
        <v>0</v>
      </c>
      <c r="P683">
        <v>0</v>
      </c>
      <c r="Q683">
        <v>0.6164896057600671</v>
      </c>
      <c r="R683" t="s">
        <v>782</v>
      </c>
      <c r="S683" t="s">
        <v>789</v>
      </c>
      <c r="T683">
        <v>532.728297</v>
      </c>
      <c r="U683" s="2">
        <v>44420</v>
      </c>
      <c r="V683" t="s">
        <v>804</v>
      </c>
    </row>
    <row r="684" spans="1:22">
      <c r="A684" s="1" t="s">
        <v>704</v>
      </c>
      <c r="B684">
        <f>HYPERLINK("https://www.suredividend.com/sure-analysis-VNO/","Vornado Realty Trust")</f>
        <v>0</v>
      </c>
      <c r="C684">
        <v>46.6</v>
      </c>
      <c r="D684">
        <v>42</v>
      </c>
      <c r="E684">
        <v>1.10952380952381</v>
      </c>
      <c r="F684">
        <v>0.04549356223175965</v>
      </c>
      <c r="G684">
        <v>-0.02057164092112973</v>
      </c>
      <c r="H684">
        <v>0.03</v>
      </c>
      <c r="I684">
        <v>0.05164063399512386</v>
      </c>
      <c r="J684" t="s">
        <v>777</v>
      </c>
      <c r="K684" t="s">
        <v>370</v>
      </c>
      <c r="L684">
        <v>2.8</v>
      </c>
      <c r="M684">
        <v>2.12</v>
      </c>
      <c r="N684">
        <v>0.7571428571428572</v>
      </c>
      <c r="O684">
        <v>0</v>
      </c>
      <c r="P684">
        <v>0.01994322923769842</v>
      </c>
      <c r="Q684">
        <v>0.242146214768799</v>
      </c>
      <c r="R684" t="s">
        <v>781</v>
      </c>
      <c r="S684" t="s">
        <v>793</v>
      </c>
      <c r="T684">
        <v>8721.761221000001</v>
      </c>
      <c r="U684" s="2">
        <v>44503</v>
      </c>
      <c r="V684" t="s">
        <v>794</v>
      </c>
    </row>
    <row r="685" spans="1:22">
      <c r="A685" s="1" t="s">
        <v>705</v>
      </c>
      <c r="B685">
        <f>HYPERLINK("https://www.suredividend.com/sure-analysis-ARCC/","Ares Capital Corp")</f>
        <v>0</v>
      </c>
      <c r="C685">
        <v>20.83</v>
      </c>
      <c r="D685">
        <v>16.4</v>
      </c>
      <c r="E685">
        <v>1.270121951219512</v>
      </c>
      <c r="F685">
        <v>0.07873259721555449</v>
      </c>
      <c r="G685">
        <v>-0.04669709682142287</v>
      </c>
      <c r="H685">
        <v>0.019</v>
      </c>
      <c r="I685">
        <v>0.05130720360721419</v>
      </c>
      <c r="J685" t="s">
        <v>777</v>
      </c>
      <c r="K685" t="s">
        <v>370</v>
      </c>
      <c r="L685">
        <v>1.82</v>
      </c>
      <c r="M685">
        <v>1.64</v>
      </c>
      <c r="N685">
        <v>0.901098901098901</v>
      </c>
      <c r="O685">
        <v>4</v>
      </c>
      <c r="P685">
        <v>0.02104646949148603</v>
      </c>
      <c r="Q685">
        <v>0.464817107720719</v>
      </c>
      <c r="R685" t="s">
        <v>782</v>
      </c>
      <c r="S685" t="s">
        <v>789</v>
      </c>
      <c r="T685">
        <v>9648.187483</v>
      </c>
      <c r="U685" s="2">
        <v>44496</v>
      </c>
      <c r="V685" t="s">
        <v>804</v>
      </c>
    </row>
    <row r="686" spans="1:22">
      <c r="A686" s="1" t="s">
        <v>706</v>
      </c>
      <c r="B686">
        <f>HYPERLINK("https://www.suredividend.com/sure-analysis-MAIN/","Main Street Capital Corporation")</f>
        <v>0</v>
      </c>
      <c r="C686">
        <v>45.68</v>
      </c>
      <c r="D686">
        <v>40</v>
      </c>
      <c r="E686">
        <v>1.142</v>
      </c>
      <c r="F686">
        <v>0.05516637478108582</v>
      </c>
      <c r="G686">
        <v>-0.02620670655038648</v>
      </c>
      <c r="H686">
        <v>0.025</v>
      </c>
      <c r="I686">
        <v>0.04979522145222726</v>
      </c>
      <c r="J686" t="s">
        <v>777</v>
      </c>
      <c r="K686" t="s">
        <v>370</v>
      </c>
      <c r="L686">
        <v>2.55</v>
      </c>
      <c r="M686">
        <v>2.52</v>
      </c>
      <c r="N686">
        <v>0.9882352941176471</v>
      </c>
      <c r="O686">
        <v>6</v>
      </c>
      <c r="P686">
        <v>0.01011092110060052</v>
      </c>
      <c r="Q686">
        <v>0.5776302155945451</v>
      </c>
      <c r="R686" t="s">
        <v>782</v>
      </c>
      <c r="S686" t="s">
        <v>789</v>
      </c>
      <c r="T686">
        <v>3188.997644</v>
      </c>
      <c r="U686" s="2">
        <v>44511</v>
      </c>
      <c r="V686" t="s">
        <v>801</v>
      </c>
    </row>
    <row r="687" spans="1:22">
      <c r="A687" s="1" t="s">
        <v>707</v>
      </c>
      <c r="B687">
        <f>HYPERLINK("https://www.suredividend.com/sure-analysis-VIA/","Via Renewables Inc")</f>
        <v>0</v>
      </c>
      <c r="C687">
        <v>12.09</v>
      </c>
      <c r="D687">
        <v>10.6</v>
      </c>
      <c r="E687">
        <v>1.140566037735849</v>
      </c>
      <c r="F687">
        <v>0.06038047973531845</v>
      </c>
      <c r="G687">
        <v>-0.02596197172836134</v>
      </c>
      <c r="H687">
        <v>0.02</v>
      </c>
      <c r="I687">
        <v>0.04895012974892365</v>
      </c>
      <c r="J687" t="s">
        <v>777</v>
      </c>
      <c r="K687" t="s">
        <v>370</v>
      </c>
      <c r="L687">
        <v>0.85</v>
      </c>
      <c r="M687">
        <v>0.73</v>
      </c>
      <c r="N687">
        <v>0.8588235294117647</v>
      </c>
      <c r="O687">
        <v>0</v>
      </c>
      <c r="P687">
        <v>0</v>
      </c>
      <c r="Q687">
        <v>0.358988159311087</v>
      </c>
      <c r="R687" t="s">
        <v>779</v>
      </c>
      <c r="S687" t="s">
        <v>791</v>
      </c>
      <c r="T687">
        <v>188.737343</v>
      </c>
      <c r="U687" s="2">
        <v>44442</v>
      </c>
      <c r="V687" t="s">
        <v>802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17.89</v>
      </c>
      <c r="D688">
        <v>15.6</v>
      </c>
      <c r="E688">
        <v>1.146794871794872</v>
      </c>
      <c r="F688">
        <v>0.08719955282280603</v>
      </c>
      <c r="G688">
        <v>-0.02702237860340584</v>
      </c>
      <c r="H688">
        <v>-0.0016</v>
      </c>
      <c r="I688">
        <v>0.0484498070020225</v>
      </c>
      <c r="J688" t="s">
        <v>777</v>
      </c>
      <c r="K688" t="s">
        <v>370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0.09710723437808001</v>
      </c>
      <c r="R688" t="s">
        <v>781</v>
      </c>
      <c r="S688" t="s">
        <v>793</v>
      </c>
      <c r="T688">
        <v>653.0179869999999</v>
      </c>
      <c r="U688" s="2">
        <v>44503</v>
      </c>
      <c r="V688" t="s">
        <v>804</v>
      </c>
    </row>
    <row r="689" spans="1:22">
      <c r="A689" s="1" t="s">
        <v>709</v>
      </c>
      <c r="B689">
        <f>HYPERLINK("https://www.suredividend.com/sure-analysis-HRZN/","Horizon Technology Finance Corp")</f>
        <v>0</v>
      </c>
      <c r="C689">
        <v>18.5</v>
      </c>
      <c r="D689">
        <v>15.76</v>
      </c>
      <c r="E689">
        <v>1.173857868020305</v>
      </c>
      <c r="F689">
        <v>0.06486486486486487</v>
      </c>
      <c r="G689">
        <v>-0.03155068356762114</v>
      </c>
      <c r="H689">
        <v>0.02</v>
      </c>
      <c r="I689">
        <v>0.048117541123055</v>
      </c>
      <c r="J689" t="s">
        <v>777</v>
      </c>
      <c r="K689" t="s">
        <v>370</v>
      </c>
      <c r="L689">
        <v>1.37</v>
      </c>
      <c r="M689">
        <v>1.2</v>
      </c>
      <c r="N689">
        <v>0.875912408759124</v>
      </c>
      <c r="O689">
        <v>0</v>
      </c>
      <c r="P689">
        <v>0</v>
      </c>
      <c r="Q689">
        <v>0.5782446145629341</v>
      </c>
      <c r="R689" t="s">
        <v>782</v>
      </c>
      <c r="S689" t="s">
        <v>789</v>
      </c>
      <c r="T689">
        <v>362.175018</v>
      </c>
      <c r="U689" s="2">
        <v>44502</v>
      </c>
      <c r="V689" t="s">
        <v>794</v>
      </c>
    </row>
    <row r="690" spans="1:22">
      <c r="A690" s="1" t="s">
        <v>710</v>
      </c>
      <c r="B690">
        <f>HYPERLINK("https://www.suredividend.com/sure-analysis-AM/","Antero Midstream Corp")</f>
        <v>0</v>
      </c>
      <c r="C690">
        <v>10.53</v>
      </c>
      <c r="D690">
        <v>8.800000000000001</v>
      </c>
      <c r="E690">
        <v>1.196590909090909</v>
      </c>
      <c r="F690">
        <v>0.08547008547008547</v>
      </c>
      <c r="G690">
        <v>-0.03525872358502502</v>
      </c>
      <c r="H690">
        <v>0</v>
      </c>
      <c r="I690">
        <v>0.04781510291403301</v>
      </c>
      <c r="J690" t="s">
        <v>777</v>
      </c>
      <c r="K690" t="s">
        <v>776</v>
      </c>
      <c r="L690">
        <v>1.25</v>
      </c>
      <c r="M690">
        <v>0.9</v>
      </c>
      <c r="N690">
        <v>0.72</v>
      </c>
      <c r="O690">
        <v>0</v>
      </c>
      <c r="P690">
        <v>0</v>
      </c>
      <c r="Q690">
        <v>0.8483998536610861</v>
      </c>
      <c r="R690" t="s">
        <v>779</v>
      </c>
      <c r="S690" t="s">
        <v>792</v>
      </c>
      <c r="T690">
        <v>5066.31518</v>
      </c>
      <c r="U690" s="2">
        <v>44504</v>
      </c>
      <c r="V690" t="s">
        <v>804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18.83</v>
      </c>
      <c r="D691">
        <v>15</v>
      </c>
      <c r="E691">
        <v>1.255333333333333</v>
      </c>
      <c r="F691">
        <v>0.07647371216144451</v>
      </c>
      <c r="G691">
        <v>-0.04446150500712798</v>
      </c>
      <c r="H691">
        <v>0.02</v>
      </c>
      <c r="I691">
        <v>0.04761969388937315</v>
      </c>
      <c r="J691" t="s">
        <v>777</v>
      </c>
      <c r="K691" t="s">
        <v>370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0.693833331834896</v>
      </c>
      <c r="R691" t="s">
        <v>782</v>
      </c>
      <c r="S691" t="s">
        <v>789</v>
      </c>
      <c r="T691">
        <v>583.739973</v>
      </c>
      <c r="U691" s="2">
        <v>44506</v>
      </c>
      <c r="V691" t="s">
        <v>794</v>
      </c>
    </row>
    <row r="692" spans="1:22">
      <c r="A692" s="1" t="s">
        <v>712</v>
      </c>
      <c r="B692">
        <f>HYPERLINK("https://www.suredividend.com/sure-analysis-VLO/","Valero Energy Corp.")</f>
        <v>0</v>
      </c>
      <c r="C692">
        <v>77.34999999999999</v>
      </c>
      <c r="D692">
        <v>64</v>
      </c>
      <c r="E692">
        <v>1.20859375</v>
      </c>
      <c r="F692">
        <v>0.05067873303167421</v>
      </c>
      <c r="G692">
        <v>-0.03718259786689271</v>
      </c>
      <c r="H692">
        <v>0.04</v>
      </c>
      <c r="I692">
        <v>0.04731753301009789</v>
      </c>
      <c r="J692" t="s">
        <v>777</v>
      </c>
      <c r="K692" t="s">
        <v>512</v>
      </c>
      <c r="L692">
        <v>0.5</v>
      </c>
      <c r="M692">
        <v>3.92</v>
      </c>
      <c r="N692">
        <v>7.84</v>
      </c>
      <c r="O692">
        <v>10</v>
      </c>
      <c r="P692">
        <v>0</v>
      </c>
      <c r="Q692">
        <v>0.5967905718878951</v>
      </c>
      <c r="R692" t="s">
        <v>779</v>
      </c>
      <c r="S692" t="s">
        <v>792</v>
      </c>
      <c r="T692">
        <v>31308.631397</v>
      </c>
      <c r="U692" s="2">
        <v>44491</v>
      </c>
      <c r="V692" t="s">
        <v>802</v>
      </c>
    </row>
    <row r="693" spans="1:22">
      <c r="A693" s="1" t="s">
        <v>713</v>
      </c>
      <c r="B693">
        <f>HYPERLINK("https://www.suredividend.com/sure-analysis-DANOY/","Danone")</f>
        <v>0</v>
      </c>
      <c r="C693">
        <v>13.05</v>
      </c>
      <c r="D693">
        <v>12.6</v>
      </c>
      <c r="E693">
        <v>1.035714285714286</v>
      </c>
      <c r="F693">
        <v>0.03371647509578544</v>
      </c>
      <c r="G693">
        <v>-0.006993693462086226</v>
      </c>
      <c r="H693">
        <v>0.02</v>
      </c>
      <c r="I693">
        <v>0.04495619390256711</v>
      </c>
      <c r="J693" t="s">
        <v>777</v>
      </c>
      <c r="K693" t="s">
        <v>512</v>
      </c>
      <c r="L693">
        <v>0.7</v>
      </c>
      <c r="M693">
        <v>0.44</v>
      </c>
      <c r="N693">
        <v>0.6285714285714287</v>
      </c>
      <c r="O693">
        <v>0</v>
      </c>
      <c r="P693">
        <v>0.02175949146424117</v>
      </c>
      <c r="Q693">
        <v>0.050588009714943</v>
      </c>
      <c r="R693" t="s">
        <v>779</v>
      </c>
      <c r="S693" t="s">
        <v>788</v>
      </c>
      <c r="T693">
        <v>45212.33</v>
      </c>
      <c r="U693" s="2">
        <v>44490</v>
      </c>
      <c r="V693" t="s">
        <v>805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23</v>
      </c>
      <c r="D694">
        <v>19</v>
      </c>
      <c r="E694">
        <v>1.210526315789474</v>
      </c>
      <c r="F694">
        <v>0.06521739130434782</v>
      </c>
      <c r="G694">
        <v>-0.03749021568765021</v>
      </c>
      <c r="H694">
        <v>0.02</v>
      </c>
      <c r="I694">
        <v>0.04365008412063554</v>
      </c>
      <c r="J694" t="s">
        <v>777</v>
      </c>
      <c r="K694" t="s">
        <v>370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0.350428467079594</v>
      </c>
      <c r="R694" t="s">
        <v>781</v>
      </c>
      <c r="S694" t="s">
        <v>793</v>
      </c>
      <c r="T694">
        <v>847.48378</v>
      </c>
      <c r="U694" s="2">
        <v>44424</v>
      </c>
      <c r="V694" t="s">
        <v>798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15.68</v>
      </c>
      <c r="D695">
        <v>12.1</v>
      </c>
      <c r="E695">
        <v>1.295867768595041</v>
      </c>
      <c r="F695">
        <v>0.07653061224489796</v>
      </c>
      <c r="G695">
        <v>-0.05051553723841995</v>
      </c>
      <c r="H695">
        <v>0.02</v>
      </c>
      <c r="I695">
        <v>0.04305946180828624</v>
      </c>
      <c r="J695" t="s">
        <v>777</v>
      </c>
      <c r="K695" t="s">
        <v>370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0.195316560178533</v>
      </c>
      <c r="R695" t="s">
        <v>782</v>
      </c>
      <c r="S695" t="s">
        <v>789</v>
      </c>
      <c r="T695">
        <v>251.006892</v>
      </c>
      <c r="U695" s="2">
        <v>44504</v>
      </c>
      <c r="V695" t="s">
        <v>794</v>
      </c>
    </row>
    <row r="696" spans="1:22">
      <c r="A696" s="1" t="s">
        <v>716</v>
      </c>
      <c r="B696">
        <f>HYPERLINK("https://www.suredividend.com/sure-analysis-HTA/","Healthcare Trust of America Inc")</f>
        <v>0</v>
      </c>
      <c r="C696">
        <v>34.63</v>
      </c>
      <c r="D696">
        <v>31</v>
      </c>
      <c r="E696">
        <v>1.117096774193548</v>
      </c>
      <c r="F696">
        <v>0.03725093849263644</v>
      </c>
      <c r="G696">
        <v>-0.02190319456733691</v>
      </c>
      <c r="H696">
        <v>0.03</v>
      </c>
      <c r="I696">
        <v>0.04271005616715851</v>
      </c>
      <c r="J696" t="s">
        <v>777</v>
      </c>
      <c r="K696" t="s">
        <v>512</v>
      </c>
      <c r="L696">
        <v>1.77</v>
      </c>
      <c r="M696">
        <v>1.29</v>
      </c>
      <c r="N696">
        <v>0.728813559322034</v>
      </c>
      <c r="O696">
        <v>8</v>
      </c>
      <c r="P696">
        <v>0.01504434962783696</v>
      </c>
      <c r="Q696">
        <v>0.272562439158511</v>
      </c>
      <c r="R696" t="s">
        <v>781</v>
      </c>
      <c r="S696" t="s">
        <v>793</v>
      </c>
      <c r="T696">
        <v>7563.704994</v>
      </c>
      <c r="U696" s="2">
        <v>44432</v>
      </c>
      <c r="V696" t="s">
        <v>796</v>
      </c>
    </row>
    <row r="697" spans="1:22">
      <c r="A697" s="1" t="s">
        <v>717</v>
      </c>
      <c r="B697">
        <f>HYPERLINK("https://www.suredividend.com/sure-analysis-ABEV/","Ambev S.A.")</f>
        <v>0</v>
      </c>
      <c r="C697">
        <v>3.14</v>
      </c>
      <c r="D697">
        <v>2.95</v>
      </c>
      <c r="E697">
        <v>1.064406779661017</v>
      </c>
      <c r="F697">
        <v>0.02547770700636942</v>
      </c>
      <c r="G697">
        <v>-0.0124059299301793</v>
      </c>
      <c r="H697">
        <v>0.03</v>
      </c>
      <c r="I697">
        <v>0.04157943537962283</v>
      </c>
      <c r="J697" t="s">
        <v>777</v>
      </c>
      <c r="K697" t="s">
        <v>512</v>
      </c>
      <c r="L697">
        <v>0.13</v>
      </c>
      <c r="M697">
        <v>0.08</v>
      </c>
      <c r="N697">
        <v>0.6153846153846154</v>
      </c>
      <c r="O697">
        <v>0</v>
      </c>
      <c r="P697">
        <v>0.02383625553960966</v>
      </c>
      <c r="Q697">
        <v>0.156495156716143</v>
      </c>
      <c r="R697" t="s">
        <v>779</v>
      </c>
      <c r="S697" t="s">
        <v>788</v>
      </c>
      <c r="T697">
        <v>49428.169312</v>
      </c>
      <c r="U697" s="2">
        <v>44439</v>
      </c>
      <c r="V697" t="s">
        <v>799</v>
      </c>
    </row>
    <row r="698" spans="1:22">
      <c r="A698" s="1" t="s">
        <v>718</v>
      </c>
      <c r="B698">
        <f>HYPERLINK("https://www.suredividend.com/sure-analysis-CIM/","Chimera Investment Corp")</f>
        <v>0</v>
      </c>
      <c r="C698">
        <v>16.59</v>
      </c>
      <c r="D698">
        <v>12</v>
      </c>
      <c r="E698">
        <v>1.3825</v>
      </c>
      <c r="F698">
        <v>0.07956600361663653</v>
      </c>
      <c r="G698">
        <v>-0.06272513210017649</v>
      </c>
      <c r="H698">
        <v>0.02</v>
      </c>
      <c r="I698">
        <v>0.04081338157926195</v>
      </c>
      <c r="J698" t="s">
        <v>777</v>
      </c>
      <c r="K698" t="s">
        <v>370</v>
      </c>
      <c r="L698">
        <v>1.5</v>
      </c>
      <c r="M698">
        <v>1.32</v>
      </c>
      <c r="N698">
        <v>0.88</v>
      </c>
      <c r="O698">
        <v>1</v>
      </c>
      <c r="P698">
        <v>0.02036554426441151</v>
      </c>
      <c r="Q698">
        <v>0.8239090688812031</v>
      </c>
      <c r="R698" t="s">
        <v>779</v>
      </c>
      <c r="S698" t="s">
        <v>793</v>
      </c>
      <c r="T698">
        <v>3922.810781</v>
      </c>
      <c r="U698" s="2">
        <v>44515</v>
      </c>
      <c r="V698" t="s">
        <v>802</v>
      </c>
    </row>
    <row r="699" spans="1:22">
      <c r="A699" s="1" t="s">
        <v>719</v>
      </c>
      <c r="B699">
        <f>HYPERLINK("https://www.suredividend.com/sure-analysis-APTS/","Preferred Apartment Communities Inc")</f>
        <v>0</v>
      </c>
      <c r="C699">
        <v>14.5</v>
      </c>
      <c r="D699">
        <v>12.3</v>
      </c>
      <c r="E699">
        <v>1.178861788617886</v>
      </c>
      <c r="F699">
        <v>0.04827586206896552</v>
      </c>
      <c r="G699">
        <v>-0.03237423940036488</v>
      </c>
      <c r="H699">
        <v>0.02</v>
      </c>
      <c r="I699">
        <v>0.04021972289371867</v>
      </c>
      <c r="J699" t="s">
        <v>777</v>
      </c>
      <c r="K699" t="s">
        <v>370</v>
      </c>
      <c r="L699">
        <v>1.04</v>
      </c>
      <c r="M699">
        <v>0.7</v>
      </c>
      <c r="N699">
        <v>0.673076923076923</v>
      </c>
      <c r="O699">
        <v>0</v>
      </c>
      <c r="P699">
        <v>0.05154749679728043</v>
      </c>
      <c r="Q699">
        <v>1.006480015110349</v>
      </c>
      <c r="R699" t="s">
        <v>781</v>
      </c>
      <c r="S699" t="s">
        <v>793</v>
      </c>
      <c r="T699">
        <v>731.186373</v>
      </c>
      <c r="U699" s="2">
        <v>44515</v>
      </c>
      <c r="V699" t="s">
        <v>802</v>
      </c>
    </row>
    <row r="700" spans="1:22">
      <c r="A700" s="1" t="s">
        <v>720</v>
      </c>
      <c r="B700">
        <f>HYPERLINK("https://www.suredividend.com/sure-analysis-HTGC/","Hercules Capital Inc")</f>
        <v>0</v>
      </c>
      <c r="C700">
        <v>17.08</v>
      </c>
      <c r="D700">
        <v>13.7</v>
      </c>
      <c r="E700">
        <v>1.246715328467153</v>
      </c>
      <c r="F700">
        <v>0.07728337236533959</v>
      </c>
      <c r="G700">
        <v>-0.04314409763267368</v>
      </c>
      <c r="H700">
        <v>0.001</v>
      </c>
      <c r="I700">
        <v>0.03973283010784789</v>
      </c>
      <c r="J700" t="s">
        <v>777</v>
      </c>
      <c r="K700" t="s">
        <v>370</v>
      </c>
      <c r="L700">
        <v>1.28</v>
      </c>
      <c r="M700">
        <v>1.32</v>
      </c>
      <c r="N700">
        <v>1.03125</v>
      </c>
      <c r="O700">
        <v>0</v>
      </c>
      <c r="P700">
        <v>0.01896393794917839</v>
      </c>
      <c r="Q700">
        <v>0.470915217131031</v>
      </c>
      <c r="R700" t="s">
        <v>782</v>
      </c>
      <c r="S700" t="s">
        <v>789</v>
      </c>
      <c r="T700">
        <v>1993.470058</v>
      </c>
      <c r="U700" s="2">
        <v>44506</v>
      </c>
      <c r="V700" t="s">
        <v>804</v>
      </c>
    </row>
    <row r="701" spans="1:22">
      <c r="A701" s="1" t="s">
        <v>721</v>
      </c>
      <c r="B701">
        <f>HYPERLINK("https://www.suredividend.com/sure-analysis-BX/","Blackstone Inc")</f>
        <v>0</v>
      </c>
      <c r="C701">
        <v>142.8</v>
      </c>
      <c r="D701">
        <v>92</v>
      </c>
      <c r="E701">
        <v>1.552173913043478</v>
      </c>
      <c r="F701">
        <v>0.03053221288515406</v>
      </c>
      <c r="G701">
        <v>-0.08417620337159737</v>
      </c>
      <c r="H701">
        <v>0.1</v>
      </c>
      <c r="I701">
        <v>0.03790647897214039</v>
      </c>
      <c r="J701" t="s">
        <v>777</v>
      </c>
      <c r="K701" t="s">
        <v>512</v>
      </c>
      <c r="L701">
        <v>4.6</v>
      </c>
      <c r="M701">
        <v>4.36</v>
      </c>
      <c r="N701">
        <v>0.9478260869565219</v>
      </c>
      <c r="O701">
        <v>0</v>
      </c>
      <c r="P701">
        <v>0.02981918386499416</v>
      </c>
      <c r="Q701">
        <v>1.641446700038791</v>
      </c>
      <c r="R701" t="s">
        <v>779</v>
      </c>
      <c r="S701" t="s">
        <v>789</v>
      </c>
      <c r="T701">
        <v>98222.669259</v>
      </c>
      <c r="U701" s="2">
        <v>44494</v>
      </c>
      <c r="V701" t="s">
        <v>794</v>
      </c>
    </row>
    <row r="702" spans="1:22">
      <c r="A702" s="1" t="s">
        <v>722</v>
      </c>
      <c r="B702">
        <f>HYPERLINK("https://www.suredividend.com/sure-analysis-ARI/","Apollo Commercial Real Estate Finance Inc")</f>
        <v>0</v>
      </c>
      <c r="C702">
        <v>14.86</v>
      </c>
      <c r="D702">
        <v>11</v>
      </c>
      <c r="E702">
        <v>1.350909090909091</v>
      </c>
      <c r="F702">
        <v>0.09421265141318977</v>
      </c>
      <c r="G702">
        <v>-0.05838194960185705</v>
      </c>
      <c r="H702">
        <v>0.003</v>
      </c>
      <c r="I702">
        <v>0.03749797678220546</v>
      </c>
      <c r="J702" t="s">
        <v>777</v>
      </c>
      <c r="K702" t="s">
        <v>370</v>
      </c>
      <c r="L702">
        <v>1.38</v>
      </c>
      <c r="M702">
        <v>1.4</v>
      </c>
      <c r="N702">
        <v>1.014492753623188</v>
      </c>
      <c r="O702">
        <v>0</v>
      </c>
      <c r="P702">
        <v>-0.01471229526229867</v>
      </c>
      <c r="Q702">
        <v>0.6334859215754011</v>
      </c>
      <c r="R702" t="s">
        <v>781</v>
      </c>
      <c r="S702" t="s">
        <v>793</v>
      </c>
      <c r="T702">
        <v>2116.597128</v>
      </c>
      <c r="U702" s="2">
        <v>44503</v>
      </c>
      <c r="V702" t="s">
        <v>804</v>
      </c>
    </row>
    <row r="703" spans="1:22">
      <c r="A703" s="1" t="s">
        <v>723</v>
      </c>
      <c r="B703">
        <f>HYPERLINK("https://www.suredividend.com/sure-analysis-SCM/","Stellus Capital Investment Corp")</f>
        <v>0</v>
      </c>
      <c r="C703">
        <v>14.22</v>
      </c>
      <c r="D703">
        <v>11.5</v>
      </c>
      <c r="E703">
        <v>1.236521739130435</v>
      </c>
      <c r="F703">
        <v>0.0759493670886076</v>
      </c>
      <c r="G703">
        <v>-0.04157165603201096</v>
      </c>
      <c r="H703">
        <v>0</v>
      </c>
      <c r="I703">
        <v>0.03513602117849079</v>
      </c>
      <c r="J703" t="s">
        <v>777</v>
      </c>
      <c r="K703" t="s">
        <v>370</v>
      </c>
      <c r="L703">
        <v>1.15</v>
      </c>
      <c r="M703">
        <v>1.08</v>
      </c>
      <c r="N703">
        <v>0.9391304347826088</v>
      </c>
      <c r="O703">
        <v>0</v>
      </c>
      <c r="P703">
        <v>0</v>
      </c>
      <c r="Q703">
        <v>0.6594258847390441</v>
      </c>
      <c r="R703" t="s">
        <v>782</v>
      </c>
      <c r="S703" t="s">
        <v>789</v>
      </c>
      <c r="T703">
        <v>280.598443</v>
      </c>
      <c r="U703" s="2">
        <v>44435</v>
      </c>
      <c r="V703" t="s">
        <v>798</v>
      </c>
    </row>
    <row r="704" spans="1:22">
      <c r="A704" s="1" t="s">
        <v>724</v>
      </c>
      <c r="B704">
        <f>HYPERLINK("https://www.suredividend.com/sure-analysis-BCE/","BCE Inc")</f>
        <v>0</v>
      </c>
      <c r="C704">
        <v>51.31</v>
      </c>
      <c r="D704">
        <v>40</v>
      </c>
      <c r="E704">
        <v>1.28275</v>
      </c>
      <c r="F704">
        <v>0.05437536542584291</v>
      </c>
      <c r="G704">
        <v>-0.04858149241087584</v>
      </c>
      <c r="H704">
        <v>0.03</v>
      </c>
      <c r="I704">
        <v>0.03360384935589078</v>
      </c>
      <c r="J704" t="s">
        <v>777</v>
      </c>
      <c r="K704" t="s">
        <v>512</v>
      </c>
      <c r="L704">
        <v>2.55</v>
      </c>
      <c r="M704">
        <v>2.79</v>
      </c>
      <c r="N704">
        <v>1.094117647058824</v>
      </c>
      <c r="O704">
        <v>12</v>
      </c>
      <c r="P704">
        <v>0.004968307109833203</v>
      </c>
      <c r="Q704">
        <v>0.267927872754114</v>
      </c>
      <c r="R704" t="s">
        <v>779</v>
      </c>
      <c r="S704" t="s">
        <v>783</v>
      </c>
      <c r="T704">
        <v>46283.014229</v>
      </c>
      <c r="U704" s="2">
        <v>44425</v>
      </c>
      <c r="V704" t="s">
        <v>803</v>
      </c>
    </row>
    <row r="705" spans="1:22">
      <c r="A705" s="1" t="s">
        <v>725</v>
      </c>
      <c r="B705">
        <f>HYPERLINK("https://www.suredividend.com/sure-analysis-EVA/","Enviva Partners LP")</f>
        <v>0</v>
      </c>
      <c r="C705">
        <v>66.98</v>
      </c>
      <c r="D705">
        <v>45</v>
      </c>
      <c r="E705">
        <v>1.488444444444444</v>
      </c>
      <c r="F705">
        <v>0.05016422812779934</v>
      </c>
      <c r="G705">
        <v>-0.07646475503628103</v>
      </c>
      <c r="H705">
        <v>0.055</v>
      </c>
      <c r="I705">
        <v>0.03330034210779376</v>
      </c>
      <c r="J705" t="s">
        <v>777</v>
      </c>
      <c r="K705" t="s">
        <v>370</v>
      </c>
      <c r="L705">
        <v>3.78</v>
      </c>
      <c r="M705">
        <v>3.36</v>
      </c>
      <c r="N705">
        <v>0.888888888888889</v>
      </c>
      <c r="O705">
        <v>5</v>
      </c>
      <c r="P705">
        <v>0.06016789231717445</v>
      </c>
      <c r="Q705">
        <v>0.607952867592597</v>
      </c>
      <c r="R705" t="s">
        <v>779</v>
      </c>
      <c r="S705" t="s">
        <v>787</v>
      </c>
      <c r="T705">
        <v>4053.379438</v>
      </c>
      <c r="U705" s="2">
        <v>44512</v>
      </c>
      <c r="V705" t="s">
        <v>801</v>
      </c>
    </row>
    <row r="706" spans="1:22">
      <c r="A706" s="1" t="s">
        <v>726</v>
      </c>
      <c r="B706">
        <f>HYPERLINK("https://www.suredividend.com/sure-analysis-OXSQ/","Oxford Square Capital Corp")</f>
        <v>0</v>
      </c>
      <c r="C706">
        <v>4.39</v>
      </c>
      <c r="D706">
        <v>3.4</v>
      </c>
      <c r="E706">
        <v>1.291176470588235</v>
      </c>
      <c r="F706">
        <v>0.09567198177676538</v>
      </c>
      <c r="G706">
        <v>-0.04982657564261861</v>
      </c>
      <c r="H706">
        <v>0</v>
      </c>
      <c r="I706">
        <v>0.03271570938130752</v>
      </c>
      <c r="J706" t="s">
        <v>777</v>
      </c>
      <c r="K706" t="s">
        <v>370</v>
      </c>
      <c r="L706">
        <v>0.34</v>
      </c>
      <c r="M706">
        <v>0.42</v>
      </c>
      <c r="N706">
        <v>1.235294117647059</v>
      </c>
      <c r="O706">
        <v>0</v>
      </c>
      <c r="P706">
        <v>-0.05892880441130122</v>
      </c>
      <c r="Q706">
        <v>0.6832440703902061</v>
      </c>
      <c r="R706" t="s">
        <v>782</v>
      </c>
      <c r="S706" t="s">
        <v>789</v>
      </c>
      <c r="T706">
        <v>218.48321</v>
      </c>
      <c r="U706" s="2">
        <v>44502</v>
      </c>
      <c r="V706" t="s">
        <v>794</v>
      </c>
    </row>
    <row r="707" spans="1:22">
      <c r="A707" s="1" t="s">
        <v>727</v>
      </c>
      <c r="B707">
        <f>HYPERLINK("https://www.suredividend.com/sure-analysis-PBA/","Pembina Pipeline Corporation")</f>
        <v>0</v>
      </c>
      <c r="C707">
        <v>33.45</v>
      </c>
      <c r="D707">
        <v>24</v>
      </c>
      <c r="E707">
        <v>1.39375</v>
      </c>
      <c r="F707">
        <v>0.05979073243647234</v>
      </c>
      <c r="G707">
        <v>-0.06424313067863385</v>
      </c>
      <c r="H707">
        <v>0.04</v>
      </c>
      <c r="I707">
        <v>0.03223185406421902</v>
      </c>
      <c r="J707" t="s">
        <v>777</v>
      </c>
      <c r="K707" t="s">
        <v>370</v>
      </c>
      <c r="L707">
        <v>2</v>
      </c>
      <c r="M707">
        <v>2</v>
      </c>
      <c r="N707">
        <v>1</v>
      </c>
      <c r="O707">
        <v>5</v>
      </c>
      <c r="P707">
        <v>0</v>
      </c>
      <c r="Q707">
        <v>0.568592109132649</v>
      </c>
      <c r="R707" t="s">
        <v>779</v>
      </c>
      <c r="S707" t="s">
        <v>792</v>
      </c>
      <c r="T707">
        <v>18191.101253</v>
      </c>
      <c r="U707" s="2">
        <v>44512</v>
      </c>
      <c r="V707" t="s">
        <v>802</v>
      </c>
    </row>
    <row r="708" spans="1:22">
      <c r="A708" s="1" t="s">
        <v>728</v>
      </c>
      <c r="B708">
        <f>HYPERLINK("https://www.suredividend.com/sure-analysis-ACC/","American Campus Communities Inc.")</f>
        <v>0</v>
      </c>
      <c r="C708">
        <v>54.73</v>
      </c>
      <c r="D708">
        <v>40</v>
      </c>
      <c r="E708">
        <v>1.36825</v>
      </c>
      <c r="F708">
        <v>0.03435044765211036</v>
      </c>
      <c r="G708">
        <v>-0.06078091554393406</v>
      </c>
      <c r="H708">
        <v>0.06</v>
      </c>
      <c r="I708">
        <v>0.03071159590478834</v>
      </c>
      <c r="J708" t="s">
        <v>777</v>
      </c>
      <c r="K708" t="s">
        <v>512</v>
      </c>
      <c r="L708">
        <v>2.1</v>
      </c>
      <c r="M708">
        <v>1.88</v>
      </c>
      <c r="N708">
        <v>0.8952380952380952</v>
      </c>
      <c r="O708">
        <v>8</v>
      </c>
      <c r="P708">
        <v>0.02528440313403202</v>
      </c>
      <c r="Q708">
        <v>0.366062227177529</v>
      </c>
      <c r="R708" t="s">
        <v>781</v>
      </c>
      <c r="S708" t="s">
        <v>793</v>
      </c>
      <c r="T708">
        <v>7433.749365</v>
      </c>
      <c r="U708" s="2">
        <v>44498</v>
      </c>
      <c r="V708" t="s">
        <v>794</v>
      </c>
    </row>
    <row r="709" spans="1:22">
      <c r="A709" s="1" t="s">
        <v>729</v>
      </c>
      <c r="B709">
        <f>HYPERLINK("https://www.suredividend.com/sure-analysis-BGS/","B&amp;G Foods, Inc")</f>
        <v>0</v>
      </c>
      <c r="C709">
        <v>33.09</v>
      </c>
      <c r="D709">
        <v>25</v>
      </c>
      <c r="E709">
        <v>1.3236</v>
      </c>
      <c r="F709">
        <v>0.05741915986702931</v>
      </c>
      <c r="G709">
        <v>-0.05452805117846404</v>
      </c>
      <c r="H709">
        <v>0.03</v>
      </c>
      <c r="I709">
        <v>0.03065149899609954</v>
      </c>
      <c r="J709" t="s">
        <v>777</v>
      </c>
      <c r="K709" t="s">
        <v>512</v>
      </c>
      <c r="L709">
        <v>1.9</v>
      </c>
      <c r="M709">
        <v>1.9</v>
      </c>
      <c r="N709">
        <v>1</v>
      </c>
      <c r="O709">
        <v>0</v>
      </c>
      <c r="P709">
        <v>0</v>
      </c>
      <c r="Q709">
        <v>0.2765149165788</v>
      </c>
      <c r="R709" t="s">
        <v>779</v>
      </c>
      <c r="S709" t="s">
        <v>788</v>
      </c>
      <c r="T709">
        <v>2137.055213</v>
      </c>
      <c r="U709" s="2">
        <v>44511</v>
      </c>
      <c r="V709" t="s">
        <v>800</v>
      </c>
    </row>
    <row r="710" spans="1:22">
      <c r="A710" s="1" t="s">
        <v>730</v>
      </c>
      <c r="B710">
        <f>HYPERLINK("https://www.suredividend.com/sure-analysis-LSI/","Life Storage Inc")</f>
        <v>0</v>
      </c>
      <c r="C710">
        <v>133.29</v>
      </c>
      <c r="D710">
        <v>88</v>
      </c>
      <c r="E710">
        <v>1.514659090909091</v>
      </c>
      <c r="F710">
        <v>0.02580838772601095</v>
      </c>
      <c r="G710">
        <v>-0.07968389745305582</v>
      </c>
      <c r="H710">
        <v>0.09</v>
      </c>
      <c r="I710">
        <v>0.03039781020860266</v>
      </c>
      <c r="J710" t="s">
        <v>777</v>
      </c>
      <c r="K710" t="s">
        <v>777</v>
      </c>
      <c r="L710">
        <v>4.85</v>
      </c>
      <c r="M710">
        <v>3.44</v>
      </c>
      <c r="N710">
        <v>0.709278350515464</v>
      </c>
      <c r="O710">
        <v>3</v>
      </c>
      <c r="P710">
        <v>0.04073022977591667</v>
      </c>
      <c r="Q710">
        <v>0.745980767137977</v>
      </c>
      <c r="R710" t="s">
        <v>781</v>
      </c>
      <c r="S710" t="s">
        <v>793</v>
      </c>
      <c r="T710">
        <v>10790.062191</v>
      </c>
      <c r="U710" s="2">
        <v>44470</v>
      </c>
      <c r="V710" t="s">
        <v>802</v>
      </c>
    </row>
    <row r="711" spans="1:22">
      <c r="A711" s="1" t="s">
        <v>731</v>
      </c>
      <c r="B711">
        <f>HYPERLINK("https://www.suredividend.com/sure-analysis-GWRS/","Global Water Resources Inc")</f>
        <v>0</v>
      </c>
      <c r="C711">
        <v>18.75</v>
      </c>
      <c r="D711">
        <v>15</v>
      </c>
      <c r="E711">
        <v>1.25</v>
      </c>
      <c r="F711">
        <v>0.01546666666666667</v>
      </c>
      <c r="G711">
        <v>-0.043647500209963</v>
      </c>
      <c r="H711">
        <v>0.06</v>
      </c>
      <c r="I711">
        <v>0.02882036315368319</v>
      </c>
      <c r="J711" t="s">
        <v>777</v>
      </c>
      <c r="K711" t="s">
        <v>777</v>
      </c>
      <c r="L711">
        <v>0.4</v>
      </c>
      <c r="M711">
        <v>0.29</v>
      </c>
      <c r="N711">
        <v>0.7249999999999999</v>
      </c>
      <c r="O711">
        <v>6</v>
      </c>
      <c r="P711">
        <v>0.01988310171094443</v>
      </c>
      <c r="Q711">
        <v>0.540036794392601</v>
      </c>
      <c r="R711" t="s">
        <v>779</v>
      </c>
      <c r="S711" t="s">
        <v>791</v>
      </c>
      <c r="T711">
        <v>419.009941</v>
      </c>
      <c r="U711" s="2">
        <v>44513</v>
      </c>
      <c r="V711" t="s">
        <v>794</v>
      </c>
    </row>
    <row r="712" spans="1:22">
      <c r="A712" s="1" t="s">
        <v>732</v>
      </c>
      <c r="B712">
        <f>HYPERLINK("https://www.suredividend.com/sure-analysis-SBR/","Sabine Royalty Trust")</f>
        <v>0</v>
      </c>
      <c r="C712">
        <v>43.68</v>
      </c>
      <c r="D712">
        <v>30</v>
      </c>
      <c r="E712">
        <v>1.456</v>
      </c>
      <c r="F712">
        <v>0.06753663003663005</v>
      </c>
      <c r="G712">
        <v>-0.07238508069012062</v>
      </c>
      <c r="H712">
        <v>0.02</v>
      </c>
      <c r="I712">
        <v>0.02237377683344177</v>
      </c>
      <c r="J712" t="s">
        <v>777</v>
      </c>
      <c r="K712" t="s">
        <v>370</v>
      </c>
      <c r="L712">
        <v>2.95</v>
      </c>
      <c r="M712">
        <v>2.95</v>
      </c>
      <c r="N712">
        <v>1</v>
      </c>
      <c r="O712">
        <v>0</v>
      </c>
      <c r="P712">
        <v>0.02018543011640217</v>
      </c>
      <c r="Q712">
        <v>0.659879687080539</v>
      </c>
      <c r="R712" t="s">
        <v>779</v>
      </c>
      <c r="S712" t="s">
        <v>792</v>
      </c>
      <c r="T712">
        <v>640.033246</v>
      </c>
      <c r="U712" s="2">
        <v>44438</v>
      </c>
      <c r="V712" t="s">
        <v>802</v>
      </c>
    </row>
    <row r="713" spans="1:22">
      <c r="A713" s="1" t="s">
        <v>733</v>
      </c>
      <c r="B713">
        <f>HYPERLINK("https://www.suredividend.com/sure-analysis-BKR/","Baker Hughes Co")</f>
        <v>0</v>
      </c>
      <c r="C713">
        <v>24.73</v>
      </c>
      <c r="D713">
        <v>13</v>
      </c>
      <c r="E713">
        <v>1.902307692307692</v>
      </c>
      <c r="F713">
        <v>0.02911443590780428</v>
      </c>
      <c r="G713">
        <v>-0.1206862847626003</v>
      </c>
      <c r="H713">
        <v>0.13</v>
      </c>
      <c r="I713">
        <v>0.0218442898355149</v>
      </c>
      <c r="J713" t="s">
        <v>777</v>
      </c>
      <c r="K713" t="s">
        <v>777</v>
      </c>
      <c r="L713">
        <v>0.75</v>
      </c>
      <c r="M713">
        <v>0.72</v>
      </c>
      <c r="N713">
        <v>0.96</v>
      </c>
      <c r="O713">
        <v>0</v>
      </c>
      <c r="P713">
        <v>0</v>
      </c>
      <c r="Q713">
        <v>0.406084953852014</v>
      </c>
      <c r="R713" t="s">
        <v>779</v>
      </c>
      <c r="S713" t="s">
        <v>792</v>
      </c>
      <c r="T713">
        <v>25218.4464</v>
      </c>
      <c r="U713" s="2">
        <v>44491</v>
      </c>
      <c r="V713" t="s">
        <v>802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33.48</v>
      </c>
      <c r="D714">
        <v>24.3</v>
      </c>
      <c r="E714">
        <v>1.377777777777778</v>
      </c>
      <c r="F714">
        <v>0.07407407407407408</v>
      </c>
      <c r="G714">
        <v>-0.06208352431720443</v>
      </c>
      <c r="H714">
        <v>0.004</v>
      </c>
      <c r="I714">
        <v>0.02124024380100131</v>
      </c>
      <c r="J714" t="s">
        <v>777</v>
      </c>
      <c r="K714" t="s">
        <v>370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0.446832661871122</v>
      </c>
      <c r="R714" t="s">
        <v>781</v>
      </c>
      <c r="S714" t="s">
        <v>793</v>
      </c>
      <c r="T714">
        <v>5285.774001</v>
      </c>
      <c r="U714" s="2">
        <v>44503</v>
      </c>
      <c r="V714" t="s">
        <v>804</v>
      </c>
    </row>
    <row r="715" spans="1:22">
      <c r="A715" s="1" t="s">
        <v>735</v>
      </c>
      <c r="B715">
        <f>HYPERLINK("https://www.suredividend.com/sure-analysis-OLP/","One Liberty Properties, Inc.")</f>
        <v>0</v>
      </c>
      <c r="C715">
        <v>34.57</v>
      </c>
      <c r="D715">
        <v>25</v>
      </c>
      <c r="E715">
        <v>1.3828</v>
      </c>
      <c r="F715">
        <v>0.05206826728377206</v>
      </c>
      <c r="G715">
        <v>-0.06276580419515565</v>
      </c>
      <c r="H715">
        <v>0.03</v>
      </c>
      <c r="I715">
        <v>0.02043801391897571</v>
      </c>
      <c r="J715" t="s">
        <v>777</v>
      </c>
      <c r="K715" t="s">
        <v>512</v>
      </c>
      <c r="L715">
        <v>1.9</v>
      </c>
      <c r="M715">
        <v>1.8</v>
      </c>
      <c r="N715">
        <v>0.9473684210526316</v>
      </c>
      <c r="O715">
        <v>0</v>
      </c>
      <c r="P715">
        <v>0.009805797673485328</v>
      </c>
      <c r="Q715">
        <v>1.147260776150614</v>
      </c>
      <c r="R715" t="s">
        <v>781</v>
      </c>
      <c r="S715" t="s">
        <v>793</v>
      </c>
      <c r="T715">
        <v>704.288643</v>
      </c>
      <c r="U715" s="2">
        <v>44513</v>
      </c>
      <c r="V715" t="s">
        <v>801</v>
      </c>
    </row>
    <row r="716" spans="1:22">
      <c r="A716" s="1" t="s">
        <v>736</v>
      </c>
      <c r="B716">
        <f>HYPERLINK("https://www.suredividend.com/sure-analysis-PRT/","PermRock Royalty Trust")</f>
        <v>0</v>
      </c>
      <c r="C716">
        <v>6.96</v>
      </c>
      <c r="D716">
        <v>3.75</v>
      </c>
      <c r="E716">
        <v>1.856</v>
      </c>
      <c r="F716">
        <v>0.07183908045977011</v>
      </c>
      <c r="G716">
        <v>-0.1163416092849791</v>
      </c>
      <c r="H716">
        <v>0.05</v>
      </c>
      <c r="I716">
        <v>0.02020814888355393</v>
      </c>
      <c r="J716" t="s">
        <v>777</v>
      </c>
      <c r="K716" t="s">
        <v>370</v>
      </c>
      <c r="L716">
        <v>0.5</v>
      </c>
      <c r="M716">
        <v>0.5</v>
      </c>
      <c r="N716">
        <v>1</v>
      </c>
      <c r="O716">
        <v>0</v>
      </c>
      <c r="P716">
        <v>0.05061112176150684</v>
      </c>
      <c r="Q716">
        <v>2.773987206823028</v>
      </c>
      <c r="R716" t="s">
        <v>779</v>
      </c>
      <c r="S716" t="s">
        <v>792</v>
      </c>
      <c r="T716">
        <v>86.13338299999999</v>
      </c>
      <c r="U716" s="2">
        <v>44439</v>
      </c>
      <c r="V716" t="s">
        <v>801</v>
      </c>
    </row>
    <row r="717" spans="1:22">
      <c r="A717" s="1" t="s">
        <v>737</v>
      </c>
      <c r="B717">
        <f>HYPERLINK("https://www.suredividend.com/sure-analysis-IRT/","Independence Realty Trust Inc")</f>
        <v>0</v>
      </c>
      <c r="C717">
        <v>25.6</v>
      </c>
      <c r="D717">
        <v>18.7</v>
      </c>
      <c r="E717">
        <v>1.368983957219251</v>
      </c>
      <c r="F717">
        <v>0.01875</v>
      </c>
      <c r="G717">
        <v>-0.06088164638215465</v>
      </c>
      <c r="H717">
        <v>0.059</v>
      </c>
      <c r="I717">
        <v>0.01954806219400984</v>
      </c>
      <c r="J717" t="s">
        <v>777</v>
      </c>
      <c r="K717" t="s">
        <v>777</v>
      </c>
      <c r="L717">
        <v>0.79</v>
      </c>
      <c r="M717">
        <v>0.48</v>
      </c>
      <c r="N717">
        <v>0.6075949367088607</v>
      </c>
      <c r="O717">
        <v>0</v>
      </c>
      <c r="P717">
        <v>0.1075663432482901</v>
      </c>
      <c r="Q717">
        <v>0.8956630670198391</v>
      </c>
      <c r="R717" t="s">
        <v>781</v>
      </c>
      <c r="S717" t="s">
        <v>793</v>
      </c>
      <c r="T717">
        <v>2640.412008</v>
      </c>
      <c r="U717" s="2">
        <v>44503</v>
      </c>
      <c r="V717" t="s">
        <v>804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12.26</v>
      </c>
      <c r="D718">
        <v>8.5</v>
      </c>
      <c r="E718">
        <v>1.442352941176471</v>
      </c>
      <c r="F718">
        <v>0.06525285481239805</v>
      </c>
      <c r="G718">
        <v>-0.07063633053137586</v>
      </c>
      <c r="H718">
        <v>0.02</v>
      </c>
      <c r="I718">
        <v>0.0195153960572203</v>
      </c>
      <c r="J718" t="s">
        <v>777</v>
      </c>
      <c r="K718" t="s">
        <v>512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0.556509444777032</v>
      </c>
      <c r="R718" t="s">
        <v>781</v>
      </c>
      <c r="S718" t="s">
        <v>793</v>
      </c>
      <c r="T718">
        <v>1533.134251</v>
      </c>
      <c r="U718" s="2">
        <v>44513</v>
      </c>
      <c r="V718" t="s">
        <v>801</v>
      </c>
    </row>
    <row r="719" spans="1:22">
      <c r="A719" s="1" t="s">
        <v>739</v>
      </c>
      <c r="B719">
        <f>HYPERLINK("https://www.suredividend.com/sure-analysis-SJT/","San Juan Basin Royalty Trust")</f>
        <v>0</v>
      </c>
      <c r="C719">
        <v>7.06</v>
      </c>
      <c r="D719">
        <v>5.45</v>
      </c>
      <c r="E719">
        <v>1.295412844036697</v>
      </c>
      <c r="F719">
        <v>0.0963172804532578</v>
      </c>
      <c r="G719">
        <v>-0.05044885839723967</v>
      </c>
      <c r="H719">
        <v>-0.03</v>
      </c>
      <c r="I719">
        <v>0.01944797886073579</v>
      </c>
      <c r="J719" t="s">
        <v>777</v>
      </c>
      <c r="K719" t="s">
        <v>370</v>
      </c>
      <c r="L719">
        <v>0.68</v>
      </c>
      <c r="M719">
        <v>0.68</v>
      </c>
      <c r="N719">
        <v>1</v>
      </c>
      <c r="O719">
        <v>1</v>
      </c>
      <c r="P719">
        <v>-0.03131223109334913</v>
      </c>
      <c r="Q719">
        <v>1.156057494866529</v>
      </c>
      <c r="R719" t="s">
        <v>779</v>
      </c>
      <c r="S719" t="s">
        <v>792</v>
      </c>
      <c r="T719">
        <v>313.211109</v>
      </c>
      <c r="U719" s="2">
        <v>44473</v>
      </c>
      <c r="V719" t="s">
        <v>802</v>
      </c>
    </row>
    <row r="720" spans="1:22">
      <c r="A720" s="1" t="s">
        <v>740</v>
      </c>
      <c r="B720">
        <f>HYPERLINK("https://www.suredividend.com/sure-analysis-PLYM/","Plymouth Industrial Reit Inc")</f>
        <v>0</v>
      </c>
      <c r="C720">
        <v>29.5</v>
      </c>
      <c r="D720">
        <v>20</v>
      </c>
      <c r="E720">
        <v>1.475</v>
      </c>
      <c r="F720">
        <v>0.02847457627118644</v>
      </c>
      <c r="G720">
        <v>-0.07478727779588845</v>
      </c>
      <c r="H720">
        <v>0.07000000000000001</v>
      </c>
      <c r="I720">
        <v>0.01874365229800201</v>
      </c>
      <c r="J720" t="s">
        <v>777</v>
      </c>
      <c r="K720" t="s">
        <v>512</v>
      </c>
      <c r="L720">
        <v>1.39</v>
      </c>
      <c r="M720">
        <v>0.84</v>
      </c>
      <c r="N720">
        <v>0.6043165467625899</v>
      </c>
      <c r="O720">
        <v>0</v>
      </c>
      <c r="P720">
        <v>0.009347419909568888</v>
      </c>
      <c r="Q720">
        <v>1.312393327093541</v>
      </c>
      <c r="R720" t="s">
        <v>781</v>
      </c>
      <c r="S720" t="s">
        <v>793</v>
      </c>
      <c r="T720">
        <v>1017.400495</v>
      </c>
      <c r="U720" s="2">
        <v>44513</v>
      </c>
      <c r="V720" t="s">
        <v>801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29.48</v>
      </c>
      <c r="D721">
        <v>22</v>
      </c>
      <c r="E721">
        <v>1.34</v>
      </c>
      <c r="F721">
        <v>0.03188602442333786</v>
      </c>
      <c r="G721">
        <v>-0.05685375429745554</v>
      </c>
      <c r="H721">
        <v>0.045</v>
      </c>
      <c r="I721">
        <v>0.01840439482899736</v>
      </c>
      <c r="J721" t="s">
        <v>777</v>
      </c>
      <c r="K721" t="s">
        <v>512</v>
      </c>
      <c r="L721">
        <v>1.3</v>
      </c>
      <c r="M721">
        <v>0.9399999999999999</v>
      </c>
      <c r="N721">
        <v>0.7230769230769231</v>
      </c>
      <c r="O721">
        <v>0</v>
      </c>
      <c r="P721">
        <v>0.01245196889366262</v>
      </c>
      <c r="Q721">
        <v>0.762491035142242</v>
      </c>
      <c r="R721" t="s">
        <v>779</v>
      </c>
      <c r="S721" t="s">
        <v>783</v>
      </c>
      <c r="T721">
        <v>14054.216066</v>
      </c>
      <c r="U721" s="2">
        <v>44396</v>
      </c>
      <c r="V721" t="s">
        <v>801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8.859999999999999</v>
      </c>
      <c r="D722">
        <v>6.1</v>
      </c>
      <c r="E722">
        <v>1.452459016393443</v>
      </c>
      <c r="F722">
        <v>0.08126410835214447</v>
      </c>
      <c r="G722">
        <v>-0.07193323031028498</v>
      </c>
      <c r="H722">
        <v>0</v>
      </c>
      <c r="I722">
        <v>0.01828091110979635</v>
      </c>
      <c r="J722" t="s">
        <v>777</v>
      </c>
      <c r="K722" t="s">
        <v>370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0.8873538788522851</v>
      </c>
      <c r="R722" t="s">
        <v>782</v>
      </c>
      <c r="S722" t="s">
        <v>789</v>
      </c>
      <c r="T722">
        <v>3462.01452</v>
      </c>
      <c r="U722" s="2">
        <v>44444</v>
      </c>
      <c r="V722" t="s">
        <v>798</v>
      </c>
    </row>
    <row r="723" spans="1:22">
      <c r="A723" s="1" t="s">
        <v>743</v>
      </c>
      <c r="B723">
        <f>HYPERLINK("https://www.suredividend.com/sure-analysis-IRM/","Iron Mountain Inc.")</f>
        <v>0</v>
      </c>
      <c r="C723">
        <v>48.96</v>
      </c>
      <c r="D723">
        <v>37</v>
      </c>
      <c r="E723">
        <v>1.323243243243243</v>
      </c>
      <c r="F723">
        <v>0.05044934640522876</v>
      </c>
      <c r="G723">
        <v>-0.0544770753449878</v>
      </c>
      <c r="H723">
        <v>0.02</v>
      </c>
      <c r="I723">
        <v>0.01822967720656687</v>
      </c>
      <c r="J723" t="s">
        <v>777</v>
      </c>
      <c r="K723" t="s">
        <v>370</v>
      </c>
      <c r="L723">
        <v>3.39</v>
      </c>
      <c r="M723">
        <v>2.47</v>
      </c>
      <c r="N723">
        <v>0.728613569321534</v>
      </c>
      <c r="O723">
        <v>10</v>
      </c>
      <c r="P723">
        <v>0.01031145931793609</v>
      </c>
      <c r="Q723">
        <v>0.9888573794764971</v>
      </c>
      <c r="R723" t="s">
        <v>781</v>
      </c>
      <c r="S723" t="s">
        <v>793</v>
      </c>
      <c r="T723">
        <v>13768.07863</v>
      </c>
      <c r="U723" s="2">
        <v>44511</v>
      </c>
      <c r="V723" t="s">
        <v>797</v>
      </c>
    </row>
    <row r="724" spans="1:22">
      <c r="A724" s="1" t="s">
        <v>744</v>
      </c>
      <c r="B724">
        <f>HYPERLINK("https://www.suredividend.com/sure-analysis-EQR/","Equity Residential Properties Trust")</f>
        <v>0</v>
      </c>
      <c r="C724">
        <v>88</v>
      </c>
      <c r="D724">
        <v>65</v>
      </c>
      <c r="E724">
        <v>1.353846153846154</v>
      </c>
      <c r="F724">
        <v>0.0275</v>
      </c>
      <c r="G724">
        <v>-0.05879085788007465</v>
      </c>
      <c r="H724">
        <v>0.048</v>
      </c>
      <c r="I724">
        <v>0.01747278327367141</v>
      </c>
      <c r="J724" t="s">
        <v>777</v>
      </c>
      <c r="K724" t="s">
        <v>777</v>
      </c>
      <c r="L724">
        <v>2.95</v>
      </c>
      <c r="M724">
        <v>2.42</v>
      </c>
      <c r="N724">
        <v>0.8203389830508474</v>
      </c>
      <c r="O724">
        <v>1</v>
      </c>
      <c r="P724">
        <v>0.04390548076893097</v>
      </c>
      <c r="Q724">
        <v>0.486331731910049</v>
      </c>
      <c r="R724" t="s">
        <v>781</v>
      </c>
      <c r="S724" t="s">
        <v>793</v>
      </c>
      <c r="T724">
        <v>32416.40223</v>
      </c>
      <c r="U724" s="2">
        <v>44496</v>
      </c>
      <c r="V724" t="s">
        <v>804</v>
      </c>
    </row>
    <row r="725" spans="1:22">
      <c r="A725" s="1" t="s">
        <v>745</v>
      </c>
      <c r="B725">
        <f>HYPERLINK("https://www.suredividend.com/sure-analysis-CRT/","Cross Timbers Royalty Trust")</f>
        <v>0</v>
      </c>
      <c r="C725">
        <v>13.4</v>
      </c>
      <c r="D725">
        <v>9</v>
      </c>
      <c r="E725">
        <v>1.488888888888889</v>
      </c>
      <c r="F725">
        <v>0.07462686567164178</v>
      </c>
      <c r="G725">
        <v>-0.07651989805345016</v>
      </c>
      <c r="H725">
        <v>0.01</v>
      </c>
      <c r="I725">
        <v>0.01741438631360759</v>
      </c>
      <c r="J725" t="s">
        <v>777</v>
      </c>
      <c r="K725" t="s">
        <v>370</v>
      </c>
      <c r="L725">
        <v>1</v>
      </c>
      <c r="M725">
        <v>1</v>
      </c>
      <c r="N725">
        <v>1</v>
      </c>
      <c r="O725">
        <v>0</v>
      </c>
      <c r="P725">
        <v>0.009805797673485328</v>
      </c>
      <c r="Q725">
        <v>0.830180262916218</v>
      </c>
      <c r="R725" t="s">
        <v>779</v>
      </c>
      <c r="S725" t="s">
        <v>792</v>
      </c>
      <c r="T725">
        <v>83.7</v>
      </c>
      <c r="U725" s="2">
        <v>44438</v>
      </c>
      <c r="V725" t="s">
        <v>802</v>
      </c>
    </row>
    <row r="726" spans="1:22">
      <c r="A726" s="1" t="s">
        <v>746</v>
      </c>
      <c r="B726">
        <f>HYPERLINK("https://www.suredividend.com/sure-analysis-PEAK/","Healthpeak Properties Inc")</f>
        <v>0</v>
      </c>
      <c r="C726">
        <v>34.16</v>
      </c>
      <c r="D726">
        <v>24</v>
      </c>
      <c r="E726">
        <v>1.423333333333333</v>
      </c>
      <c r="F726">
        <v>0.0351288056206089</v>
      </c>
      <c r="G726">
        <v>-0.06816573532761361</v>
      </c>
      <c r="H726">
        <v>0.05</v>
      </c>
      <c r="I726">
        <v>0.01729764387920296</v>
      </c>
      <c r="J726" t="s">
        <v>777</v>
      </c>
      <c r="K726" t="s">
        <v>512</v>
      </c>
      <c r="L726">
        <v>1.6</v>
      </c>
      <c r="M726">
        <v>1.2</v>
      </c>
      <c r="N726">
        <v>0.7499999999999999</v>
      </c>
      <c r="O726">
        <v>0</v>
      </c>
      <c r="P726">
        <v>0.03131030647754507</v>
      </c>
      <c r="Q726">
        <v>0.179487179487179</v>
      </c>
      <c r="R726" t="s">
        <v>781</v>
      </c>
      <c r="S726" t="s">
        <v>793</v>
      </c>
      <c r="T726">
        <v>18226.03186</v>
      </c>
      <c r="U726" s="2">
        <v>44515</v>
      </c>
      <c r="V726" t="s">
        <v>802</v>
      </c>
    </row>
    <row r="727" spans="1:22">
      <c r="A727" s="1" t="s">
        <v>747</v>
      </c>
      <c r="B727">
        <f>HYPERLINK("https://www.suredividend.com/sure-analysis-STAG/","STAG Industrial Inc")</f>
        <v>0</v>
      </c>
      <c r="C727">
        <v>43.11</v>
      </c>
      <c r="D727">
        <v>31</v>
      </c>
      <c r="E727">
        <v>1.390645161290323</v>
      </c>
      <c r="F727">
        <v>0.03363488749710044</v>
      </c>
      <c r="G727">
        <v>-0.0638256578370886</v>
      </c>
      <c r="H727">
        <v>0.05</v>
      </c>
      <c r="I727">
        <v>0.01727296897039721</v>
      </c>
      <c r="J727" t="s">
        <v>777</v>
      </c>
      <c r="K727" t="s">
        <v>512</v>
      </c>
      <c r="L727">
        <v>2.04</v>
      </c>
      <c r="M727">
        <v>1.45</v>
      </c>
      <c r="N727">
        <v>0.7107843137254901</v>
      </c>
      <c r="O727">
        <v>10</v>
      </c>
      <c r="P727">
        <v>0.006803348678863008</v>
      </c>
      <c r="Q727">
        <v>0.419262222901595</v>
      </c>
      <c r="R727" t="s">
        <v>781</v>
      </c>
      <c r="S727" t="s">
        <v>793</v>
      </c>
      <c r="T727">
        <v>7250.930643</v>
      </c>
      <c r="U727" s="2">
        <v>44428</v>
      </c>
      <c r="V727" t="s">
        <v>802</v>
      </c>
    </row>
    <row r="728" spans="1:22">
      <c r="A728" s="1" t="s">
        <v>748</v>
      </c>
      <c r="B728">
        <f>HYPERLINK("https://www.suredividend.com/sure-analysis-UDR/","UDR Inc")</f>
        <v>0</v>
      </c>
      <c r="C728">
        <v>56.94</v>
      </c>
      <c r="D728">
        <v>40</v>
      </c>
      <c r="E728">
        <v>1.4235</v>
      </c>
      <c r="F728">
        <v>0.02546540217773095</v>
      </c>
      <c r="G728">
        <v>-0.06818755661102915</v>
      </c>
      <c r="H728">
        <v>0.055</v>
      </c>
      <c r="I728">
        <v>0.01283607878323401</v>
      </c>
      <c r="J728" t="s">
        <v>777</v>
      </c>
      <c r="K728" t="s">
        <v>777</v>
      </c>
      <c r="L728">
        <v>1.82</v>
      </c>
      <c r="M728">
        <v>1.45</v>
      </c>
      <c r="N728">
        <v>0.7967032967032966</v>
      </c>
      <c r="O728">
        <v>11</v>
      </c>
      <c r="P728">
        <v>0.0499309672496191</v>
      </c>
      <c r="Q728">
        <v>0.484353217647605</v>
      </c>
      <c r="R728" t="s">
        <v>781</v>
      </c>
      <c r="S728" t="s">
        <v>793</v>
      </c>
      <c r="T728">
        <v>17283.518586</v>
      </c>
      <c r="U728" s="2">
        <v>44512</v>
      </c>
      <c r="V728" t="s">
        <v>801</v>
      </c>
    </row>
    <row r="729" spans="1:22">
      <c r="A729" s="1" t="s">
        <v>749</v>
      </c>
      <c r="B729">
        <f>HYPERLINK("https://www.suredividend.com/sure-analysis-GAIN/","Gladstone Investment Corporation")</f>
        <v>0</v>
      </c>
      <c r="C729">
        <v>16.6</v>
      </c>
      <c r="D729">
        <v>11</v>
      </c>
      <c r="E729">
        <v>1.509090909090909</v>
      </c>
      <c r="F729">
        <v>0.05421686746987951</v>
      </c>
      <c r="G729">
        <v>-0.07900574866696064</v>
      </c>
      <c r="H729">
        <v>0.03</v>
      </c>
      <c r="I729">
        <v>0.01083014113132696</v>
      </c>
      <c r="J729" t="s">
        <v>777</v>
      </c>
      <c r="K729" t="s">
        <v>512</v>
      </c>
      <c r="L729">
        <v>0.8</v>
      </c>
      <c r="M729">
        <v>0.9</v>
      </c>
      <c r="N729">
        <v>1.125</v>
      </c>
      <c r="O729">
        <v>1</v>
      </c>
      <c r="P729">
        <v>0.01924487649145656</v>
      </c>
      <c r="Q729">
        <v>0.8737247789616871</v>
      </c>
      <c r="R729" t="s">
        <v>782</v>
      </c>
      <c r="S729" t="s">
        <v>789</v>
      </c>
      <c r="T729">
        <v>548.8790299999999</v>
      </c>
      <c r="U729" s="2">
        <v>44512</v>
      </c>
      <c r="V729" t="s">
        <v>797</v>
      </c>
    </row>
    <row r="730" spans="1:22">
      <c r="A730" s="1" t="s">
        <v>750</v>
      </c>
      <c r="B730">
        <f>HYPERLINK("https://www.suredividend.com/sure-analysis-MNR/","Monmouth Real Estate Investment Corp.")</f>
        <v>0</v>
      </c>
      <c r="C730">
        <v>20.89</v>
      </c>
      <c r="D730">
        <v>15</v>
      </c>
      <c r="E730">
        <v>1.392666666666667</v>
      </c>
      <c r="F730">
        <v>0.03446625179511728</v>
      </c>
      <c r="G730">
        <v>-0.0640975938675693</v>
      </c>
      <c r="H730">
        <v>0.03</v>
      </c>
      <c r="I730">
        <v>0.002917475651320167</v>
      </c>
      <c r="J730" t="s">
        <v>777</v>
      </c>
      <c r="K730" t="s">
        <v>512</v>
      </c>
      <c r="L730">
        <v>0.75</v>
      </c>
      <c r="M730">
        <v>0.72</v>
      </c>
      <c r="N730">
        <v>0.96</v>
      </c>
      <c r="O730">
        <v>1</v>
      </c>
      <c r="P730">
        <v>0.01872958559274807</v>
      </c>
      <c r="Q730">
        <v>0.488628335319598</v>
      </c>
      <c r="R730" t="s">
        <v>781</v>
      </c>
      <c r="S730" t="s">
        <v>793</v>
      </c>
      <c r="T730">
        <v>2050.584038</v>
      </c>
      <c r="U730" s="2">
        <v>44426</v>
      </c>
      <c r="V730" t="s">
        <v>794</v>
      </c>
    </row>
    <row r="731" spans="1:22">
      <c r="A731" s="1" t="s">
        <v>751</v>
      </c>
      <c r="B731">
        <f>HYPERLINK("https://www.suredividend.com/sure-analysis-GLAD/","Gladstone Capital Corp.")</f>
        <v>0</v>
      </c>
      <c r="C731">
        <v>11.76</v>
      </c>
      <c r="D731">
        <v>8</v>
      </c>
      <c r="E731">
        <v>1.47</v>
      </c>
      <c r="F731">
        <v>0.0663265306122449</v>
      </c>
      <c r="G731">
        <v>-0.07415873596442657</v>
      </c>
      <c r="H731">
        <v>0</v>
      </c>
      <c r="I731">
        <v>0.002369694828421753</v>
      </c>
      <c r="J731" t="s">
        <v>777</v>
      </c>
      <c r="K731" t="s">
        <v>370</v>
      </c>
      <c r="L731">
        <v>0.8</v>
      </c>
      <c r="M731">
        <v>0.78</v>
      </c>
      <c r="N731">
        <v>0.975</v>
      </c>
      <c r="O731">
        <v>0</v>
      </c>
      <c r="P731">
        <v>0</v>
      </c>
      <c r="Q731">
        <v>0.519497635475618</v>
      </c>
      <c r="R731" t="s">
        <v>779</v>
      </c>
      <c r="S731" t="s">
        <v>789</v>
      </c>
      <c r="T731">
        <v>403.419403</v>
      </c>
      <c r="U731" s="2">
        <v>44424</v>
      </c>
      <c r="V731" t="s">
        <v>798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19.2</v>
      </c>
      <c r="D732">
        <v>11.5</v>
      </c>
      <c r="E732">
        <v>1.669565217391304</v>
      </c>
      <c r="F732">
        <v>0.075</v>
      </c>
      <c r="G732">
        <v>-0.09743326664481611</v>
      </c>
      <c r="H732">
        <v>0.008</v>
      </c>
      <c r="I732">
        <v>-0.001599185909165635</v>
      </c>
      <c r="J732" t="s">
        <v>777</v>
      </c>
      <c r="K732" t="s">
        <v>370</v>
      </c>
      <c r="L732">
        <v>1.6</v>
      </c>
      <c r="M732">
        <v>1.44</v>
      </c>
      <c r="N732">
        <v>0.8999999999999999</v>
      </c>
      <c r="O732">
        <v>9</v>
      </c>
      <c r="P732">
        <v>-0.005618333193698977</v>
      </c>
      <c r="Q732">
        <v>0.6361886429258901</v>
      </c>
      <c r="R732" t="s">
        <v>781</v>
      </c>
      <c r="S732" t="s">
        <v>793</v>
      </c>
      <c r="T732">
        <v>2747.157919</v>
      </c>
      <c r="U732" s="2">
        <v>44506</v>
      </c>
      <c r="V732" t="s">
        <v>804</v>
      </c>
    </row>
    <row r="733" spans="1:22">
      <c r="A733" s="1" t="s">
        <v>753</v>
      </c>
      <c r="B733">
        <f>HYPERLINK("https://www.suredividend.com/sure-analysis-UBA/","Urstadt Biddle Properties, Inc.")</f>
        <v>0</v>
      </c>
      <c r="C733">
        <v>20.68</v>
      </c>
      <c r="D733">
        <v>14</v>
      </c>
      <c r="E733">
        <v>1.477142857142857</v>
      </c>
      <c r="F733">
        <v>0.04448742746615087</v>
      </c>
      <c r="G733">
        <v>-0.07505587065775432</v>
      </c>
      <c r="H733">
        <v>0.018</v>
      </c>
      <c r="I733">
        <v>-0.002397101412752733</v>
      </c>
      <c r="J733" t="s">
        <v>777</v>
      </c>
      <c r="K733" t="s">
        <v>370</v>
      </c>
      <c r="L733">
        <v>1.37</v>
      </c>
      <c r="M733">
        <v>0.92</v>
      </c>
      <c r="N733">
        <v>0.6715328467153284</v>
      </c>
      <c r="O733">
        <v>0</v>
      </c>
      <c r="P733">
        <v>0.03638464900130689</v>
      </c>
      <c r="Q733">
        <v>0.868798590140159</v>
      </c>
      <c r="R733" t="s">
        <v>781</v>
      </c>
      <c r="S733" t="s">
        <v>793</v>
      </c>
      <c r="T733">
        <v>800.760705</v>
      </c>
      <c r="U733" s="2">
        <v>44452</v>
      </c>
      <c r="V733" t="s">
        <v>804</v>
      </c>
    </row>
    <row r="734" spans="1:22">
      <c r="A734" s="1" t="s">
        <v>754</v>
      </c>
      <c r="B734">
        <f>HYPERLINK("https://www.suredividend.com/sure-analysis-MPC/","Marathon Petroleum Corp")</f>
        <v>0</v>
      </c>
      <c r="C734">
        <v>65.54000000000001</v>
      </c>
      <c r="D734">
        <v>49</v>
      </c>
      <c r="E734">
        <v>1.337551020408163</v>
      </c>
      <c r="F734">
        <v>0.03539823008849557</v>
      </c>
      <c r="G734">
        <v>-0.05650863756943447</v>
      </c>
      <c r="H734">
        <v>0.01</v>
      </c>
      <c r="I734">
        <v>-0.006438582795005754</v>
      </c>
      <c r="J734" t="s">
        <v>777</v>
      </c>
      <c r="K734" t="s">
        <v>512</v>
      </c>
      <c r="L734">
        <v>1.5</v>
      </c>
      <c r="M734">
        <v>2.32</v>
      </c>
      <c r="N734">
        <v>1.546666666666667</v>
      </c>
      <c r="O734">
        <v>9</v>
      </c>
      <c r="P734">
        <v>0.01013720758985226</v>
      </c>
      <c r="Q734">
        <v>0.8120881148500341</v>
      </c>
      <c r="R734" t="s">
        <v>779</v>
      </c>
      <c r="S734" t="s">
        <v>792</v>
      </c>
      <c r="T734">
        <v>40505.66941</v>
      </c>
      <c r="U734" s="2">
        <v>44504</v>
      </c>
      <c r="V734" t="s">
        <v>802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12.0475</v>
      </c>
      <c r="D735">
        <v>6.7</v>
      </c>
      <c r="E735">
        <v>1.798134328358209</v>
      </c>
      <c r="F735">
        <v>0.04897281593691637</v>
      </c>
      <c r="G735">
        <v>-0.1107260437033878</v>
      </c>
      <c r="H735">
        <v>0.049</v>
      </c>
      <c r="I735">
        <v>-0.01098502382687927</v>
      </c>
      <c r="J735" t="s">
        <v>777</v>
      </c>
      <c r="K735" t="s">
        <v>512</v>
      </c>
      <c r="L735">
        <v>0.67</v>
      </c>
      <c r="M735">
        <v>0.59</v>
      </c>
      <c r="N735">
        <v>0.880597014925373</v>
      </c>
      <c r="O735">
        <v>1</v>
      </c>
      <c r="P735">
        <v>-0.006873503878979115</v>
      </c>
      <c r="Q735">
        <v>0.173968544756484</v>
      </c>
      <c r="R735" t="s">
        <v>781</v>
      </c>
      <c r="S735" t="s">
        <v>789</v>
      </c>
      <c r="T735">
        <v>3945.745625</v>
      </c>
      <c r="U735" s="2">
        <v>44509</v>
      </c>
      <c r="V735" t="s">
        <v>804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13.43</v>
      </c>
      <c r="D736">
        <v>8</v>
      </c>
      <c r="E736">
        <v>1.67875</v>
      </c>
      <c r="F736">
        <v>0.04318689501116902</v>
      </c>
      <c r="G736">
        <v>-0.09842306039215054</v>
      </c>
      <c r="H736">
        <v>0.035</v>
      </c>
      <c r="I736">
        <v>-0.01439376646672719</v>
      </c>
      <c r="J736" t="s">
        <v>777</v>
      </c>
      <c r="K736" t="s">
        <v>512</v>
      </c>
      <c r="L736">
        <v>0.65</v>
      </c>
      <c r="M736">
        <v>0.58</v>
      </c>
      <c r="N736">
        <v>0.8923076923076922</v>
      </c>
      <c r="O736">
        <v>0</v>
      </c>
      <c r="P736">
        <v>0.01013720758985226</v>
      </c>
      <c r="Q736">
        <v>0.3940345368916791</v>
      </c>
      <c r="R736" t="s">
        <v>781</v>
      </c>
      <c r="S736" t="s">
        <v>789</v>
      </c>
      <c r="T736">
        <v>3059.970327</v>
      </c>
      <c r="U736" s="2">
        <v>44418</v>
      </c>
      <c r="V736" t="s">
        <v>801</v>
      </c>
    </row>
    <row r="737" spans="1:22">
      <c r="A737" s="1" t="s">
        <v>757</v>
      </c>
      <c r="B737">
        <f>HYPERLINK("https://www.suredividend.com/sure-analysis-CMP/","Compass Minerals International Inc")</f>
        <v>0</v>
      </c>
      <c r="C737">
        <v>71.97</v>
      </c>
      <c r="D737">
        <v>52</v>
      </c>
      <c r="E737">
        <v>1.384038461538462</v>
      </c>
      <c r="F737">
        <v>0.04001667361400583</v>
      </c>
      <c r="G737">
        <v>-0.06293359493442596</v>
      </c>
      <c r="H737">
        <v>0</v>
      </c>
      <c r="I737">
        <v>-0.01598138242341718</v>
      </c>
      <c r="J737" t="s">
        <v>777</v>
      </c>
      <c r="K737" t="s">
        <v>512</v>
      </c>
      <c r="L737">
        <v>2.25</v>
      </c>
      <c r="M737">
        <v>2.88</v>
      </c>
      <c r="N737">
        <v>1.28</v>
      </c>
      <c r="O737">
        <v>0</v>
      </c>
      <c r="P737">
        <v>0</v>
      </c>
      <c r="Q737">
        <v>0.21613730418666</v>
      </c>
      <c r="R737" t="s">
        <v>779</v>
      </c>
      <c r="S737" t="s">
        <v>787</v>
      </c>
      <c r="T737">
        <v>2445.682104</v>
      </c>
      <c r="U737" s="2">
        <v>44432</v>
      </c>
      <c r="V737" t="s">
        <v>794</v>
      </c>
    </row>
    <row r="738" spans="1:22">
      <c r="A738" s="1" t="s">
        <v>758</v>
      </c>
      <c r="B738">
        <f>HYPERLINK("https://www.suredividend.com/sure-analysis-DRETF/","Dream Office Real Estate Investment Trust")</f>
        <v>0</v>
      </c>
      <c r="C738">
        <v>19.205</v>
      </c>
      <c r="D738">
        <v>11.2</v>
      </c>
      <c r="E738">
        <v>1.714732142857143</v>
      </c>
      <c r="F738">
        <v>0.04217651653215309</v>
      </c>
      <c r="G738">
        <v>-0.1022389852791538</v>
      </c>
      <c r="H738">
        <v>0.039</v>
      </c>
      <c r="I738">
        <v>-0.01751431592386432</v>
      </c>
      <c r="J738" t="s">
        <v>777</v>
      </c>
      <c r="K738" t="s">
        <v>370</v>
      </c>
      <c r="L738">
        <v>1.24</v>
      </c>
      <c r="M738">
        <v>0.8100000000000001</v>
      </c>
      <c r="N738">
        <v>0.653225806451613</v>
      </c>
      <c r="O738">
        <v>0</v>
      </c>
      <c r="P738">
        <v>-0.002481420174103466</v>
      </c>
      <c r="Q738">
        <v>0.228962692775324</v>
      </c>
      <c r="R738" t="s">
        <v>779</v>
      </c>
      <c r="S738" t="s">
        <v>789</v>
      </c>
      <c r="T738">
        <v>954.50252</v>
      </c>
      <c r="U738" s="2">
        <v>44509</v>
      </c>
      <c r="V738" t="s">
        <v>804</v>
      </c>
    </row>
    <row r="739" spans="1:22">
      <c r="A739" s="1" t="s">
        <v>759</v>
      </c>
      <c r="B739">
        <f>HYPERLINK("https://www.suredividend.com/sure-analysis-WELL/","Welltower Inc")</f>
        <v>0</v>
      </c>
      <c r="C739">
        <v>84.23</v>
      </c>
      <c r="D739">
        <v>56</v>
      </c>
      <c r="E739">
        <v>1.504107142857143</v>
      </c>
      <c r="F739">
        <v>0.02896830108037516</v>
      </c>
      <c r="G739">
        <v>-0.07839622445319216</v>
      </c>
      <c r="H739">
        <v>0.012</v>
      </c>
      <c r="I739">
        <v>-0.02665578101025767</v>
      </c>
      <c r="J739" t="s">
        <v>777</v>
      </c>
      <c r="K739" t="s">
        <v>512</v>
      </c>
      <c r="L739">
        <v>3.19</v>
      </c>
      <c r="M739">
        <v>2.44</v>
      </c>
      <c r="N739">
        <v>0.7648902821316614</v>
      </c>
      <c r="O739">
        <v>0</v>
      </c>
      <c r="P739">
        <v>0.04972154879615531</v>
      </c>
      <c r="Q739">
        <v>0.336921963043409</v>
      </c>
      <c r="R739" t="s">
        <v>781</v>
      </c>
      <c r="S739" t="s">
        <v>793</v>
      </c>
      <c r="T739">
        <v>36972.218408</v>
      </c>
      <c r="U739" s="2">
        <v>44505</v>
      </c>
      <c r="V739" t="s">
        <v>803</v>
      </c>
    </row>
    <row r="740" spans="1:22">
      <c r="A740" s="1" t="s">
        <v>760</v>
      </c>
      <c r="B740">
        <f>HYPERLINK("https://www.suredividend.com/sure-analysis-LAMR/","Lamar Advertising Co")</f>
        <v>0</v>
      </c>
      <c r="C740">
        <v>117.94</v>
      </c>
      <c r="D740">
        <v>78</v>
      </c>
      <c r="E740">
        <v>1.512051282051282</v>
      </c>
      <c r="F740">
        <v>0.03391555027980329</v>
      </c>
      <c r="G740">
        <v>-0.0793666655545624</v>
      </c>
      <c r="H740">
        <v>0.001</v>
      </c>
      <c r="I740">
        <v>-0.03559676902005404</v>
      </c>
      <c r="J740" t="s">
        <v>777</v>
      </c>
      <c r="K740" t="s">
        <v>512</v>
      </c>
      <c r="L740">
        <v>6.48</v>
      </c>
      <c r="M740">
        <v>4</v>
      </c>
      <c r="N740">
        <v>0.6172839506172839</v>
      </c>
      <c r="O740">
        <v>1</v>
      </c>
      <c r="P740">
        <v>0</v>
      </c>
      <c r="Q740">
        <v>0.576195788030696</v>
      </c>
      <c r="R740" t="s">
        <v>781</v>
      </c>
      <c r="S740" t="s">
        <v>793</v>
      </c>
      <c r="T740">
        <v>10182.178646</v>
      </c>
      <c r="U740" s="2">
        <v>44509</v>
      </c>
      <c r="V740" t="s">
        <v>804</v>
      </c>
    </row>
    <row r="741" spans="1:22">
      <c r="A741" s="1" t="s">
        <v>761</v>
      </c>
      <c r="B741">
        <f>HYPERLINK("https://www.suredividend.com/sure-analysis-LAND/","Gladstone Land Corp")</f>
        <v>0</v>
      </c>
      <c r="C741">
        <v>27.54</v>
      </c>
      <c r="D741">
        <v>14</v>
      </c>
      <c r="E741">
        <v>1.967142857142857</v>
      </c>
      <c r="F741">
        <v>0.01960784313725491</v>
      </c>
      <c r="G741">
        <v>-0.1265605168914726</v>
      </c>
      <c r="H741">
        <v>0.06</v>
      </c>
      <c r="I741">
        <v>-0.04655070424601171</v>
      </c>
      <c r="J741" t="s">
        <v>777</v>
      </c>
      <c r="K741" t="s">
        <v>777</v>
      </c>
      <c r="L741">
        <v>0.65</v>
      </c>
      <c r="M741">
        <v>0.54</v>
      </c>
      <c r="N741">
        <v>0.8307692307692308</v>
      </c>
      <c r="O741">
        <v>7</v>
      </c>
      <c r="P741">
        <v>0.03131030647754507</v>
      </c>
      <c r="Q741">
        <v>0.934695930169905</v>
      </c>
      <c r="R741" t="s">
        <v>781</v>
      </c>
      <c r="S741" t="s">
        <v>793</v>
      </c>
      <c r="T741">
        <v>921.27565</v>
      </c>
      <c r="U741" s="2">
        <v>44424</v>
      </c>
      <c r="V741" t="s">
        <v>798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55.99</v>
      </c>
      <c r="D742">
        <v>35.5</v>
      </c>
      <c r="E742">
        <v>1.577183098591549</v>
      </c>
      <c r="F742">
        <v>0.06393998928380068</v>
      </c>
      <c r="G742">
        <v>-0.08709922217672028</v>
      </c>
      <c r="H742">
        <v>-0.053</v>
      </c>
      <c r="I742">
        <v>-0.05073241735395106</v>
      </c>
      <c r="J742" t="s">
        <v>777</v>
      </c>
      <c r="K742" t="s">
        <v>370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0.9254280816070051</v>
      </c>
      <c r="R742" t="s">
        <v>779</v>
      </c>
      <c r="S742" t="s">
        <v>789</v>
      </c>
      <c r="T742">
        <v>5567.758864</v>
      </c>
      <c r="U742" s="2">
        <v>44504</v>
      </c>
      <c r="V742" t="s">
        <v>804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32.64</v>
      </c>
      <c r="D743">
        <v>9</v>
      </c>
      <c r="E743">
        <v>3.626666666666667</v>
      </c>
      <c r="F743">
        <v>0.03063725490196078</v>
      </c>
      <c r="G743">
        <v>-0.2271441975503558</v>
      </c>
      <c r="H743">
        <v>0.17</v>
      </c>
      <c r="I743">
        <v>-0.05397648628890894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0.9752807384849641</v>
      </c>
      <c r="R743" t="s">
        <v>779</v>
      </c>
      <c r="S743" t="s">
        <v>792</v>
      </c>
      <c r="T743">
        <v>3583.31855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8.41</v>
      </c>
      <c r="D744">
        <v>3.1</v>
      </c>
      <c r="E744">
        <v>2.712903225806452</v>
      </c>
      <c r="F744">
        <v>0.02853745541022592</v>
      </c>
      <c r="G744">
        <v>-0.1809448609097374</v>
      </c>
      <c r="H744">
        <v>0.07000000000000001</v>
      </c>
      <c r="I744">
        <v>-0.07053253014678795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2.49143885795621</v>
      </c>
      <c r="R744" t="s">
        <v>779</v>
      </c>
      <c r="S744" t="s">
        <v>792</v>
      </c>
      <c r="T744">
        <v>388.717359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6.19</v>
      </c>
      <c r="D745">
        <v>3.1</v>
      </c>
      <c r="E745">
        <v>1.996774193548387</v>
      </c>
      <c r="F745">
        <v>0.009693053311793215</v>
      </c>
      <c r="G745">
        <v>-0.1291683418557021</v>
      </c>
      <c r="H745">
        <v>0.026</v>
      </c>
      <c r="I745">
        <v>-0.0890853834436095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1.112652626675982</v>
      </c>
      <c r="R745" t="s">
        <v>779</v>
      </c>
      <c r="S745" t="s">
        <v>789</v>
      </c>
      <c r="T745">
        <v>82.41331599999999</v>
      </c>
      <c r="U745" s="2">
        <v>44336</v>
      </c>
      <c r="V745" t="s">
        <v>804</v>
      </c>
    </row>
    <row r="746" spans="1:22">
      <c r="A746" s="1" t="s">
        <v>766</v>
      </c>
      <c r="B746">
        <f>HYPERLINK("https://www.suredividend.com/sure-analysis-PPL/","PPL Corp")</f>
        <v>0</v>
      </c>
      <c r="C746">
        <v>28.84</v>
      </c>
      <c r="D746">
        <v>11</v>
      </c>
      <c r="E746">
        <v>2.621818181818182</v>
      </c>
      <c r="F746">
        <v>0.05755894590846047</v>
      </c>
      <c r="G746">
        <v>-0.1753313485445391</v>
      </c>
      <c r="H746">
        <v>0.02</v>
      </c>
      <c r="I746">
        <v>-0.09465332913616564</v>
      </c>
      <c r="J746" t="s">
        <v>777</v>
      </c>
      <c r="K746" t="s">
        <v>370</v>
      </c>
      <c r="L746">
        <v>1.12</v>
      </c>
      <c r="M746">
        <v>1.66</v>
      </c>
      <c r="N746">
        <v>1.482142857142857</v>
      </c>
      <c r="O746">
        <v>20</v>
      </c>
      <c r="P746">
        <v>-0.1402002729120276</v>
      </c>
      <c r="Q746">
        <v>0.016029102483942</v>
      </c>
      <c r="R746" t="s">
        <v>779</v>
      </c>
      <c r="S746" t="s">
        <v>791</v>
      </c>
      <c r="T746">
        <v>22010.726595</v>
      </c>
      <c r="U746" s="2">
        <v>44506</v>
      </c>
      <c r="V746" t="s">
        <v>795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20.24</v>
      </c>
      <c r="D747">
        <v>5.55</v>
      </c>
      <c r="E747">
        <v>3.646846846846847</v>
      </c>
      <c r="F747">
        <v>0.0158102766798419</v>
      </c>
      <c r="G747">
        <v>-0.2280014315760364</v>
      </c>
      <c r="H747">
        <v>0.1</v>
      </c>
      <c r="I747">
        <v>-0.1223683813157173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0.8147078347297221</v>
      </c>
      <c r="R747" t="s">
        <v>779</v>
      </c>
      <c r="S747" t="s">
        <v>786</v>
      </c>
      <c r="T747">
        <v>2690.775752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8.48</v>
      </c>
      <c r="D748">
        <v>5.95</v>
      </c>
      <c r="E748">
        <v>1.425210084033613</v>
      </c>
      <c r="F748">
        <v>0.009433962264150943</v>
      </c>
      <c r="G748">
        <v>-0.0684112770217612</v>
      </c>
      <c r="H748">
        <v>-0.1</v>
      </c>
      <c r="I748">
        <v>-0.1432935794615826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1.458923190630507</v>
      </c>
      <c r="R748" t="s">
        <v>779</v>
      </c>
      <c r="S748" t="s">
        <v>792</v>
      </c>
      <c r="T748">
        <v>1860.720495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45.82</v>
      </c>
      <c r="D749">
        <v>12</v>
      </c>
      <c r="E749">
        <v>3.818333333333333</v>
      </c>
      <c r="F749">
        <v>0.0002182453077258839</v>
      </c>
      <c r="G749">
        <v>-0.2350637679653844</v>
      </c>
      <c r="H749">
        <v>0.06</v>
      </c>
      <c r="I749">
        <v>-0.1856397516076679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0.7413905635091971</v>
      </c>
      <c r="R749" t="s">
        <v>779</v>
      </c>
      <c r="S749" t="s">
        <v>790</v>
      </c>
      <c r="T749">
        <v>21145.399321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34.6</v>
      </c>
      <c r="D750">
        <v>39</v>
      </c>
      <c r="E750">
        <v>0.8871794871794872</v>
      </c>
      <c r="F750">
        <v>0</v>
      </c>
      <c r="G750">
        <v>0.0242304937217781</v>
      </c>
      <c r="H750">
        <v>0.03</v>
      </c>
      <c r="I750">
        <v>0.07386755197733441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0.6002629300967011</v>
      </c>
      <c r="R750" t="s">
        <v>779</v>
      </c>
      <c r="S750" t="s">
        <v>792</v>
      </c>
      <c r="T750">
        <v>5617.494844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13.03</v>
      </c>
      <c r="D751">
        <v>11</v>
      </c>
      <c r="E751">
        <v>1.184545454545455</v>
      </c>
      <c r="F751">
        <v>0</v>
      </c>
      <c r="G751">
        <v>-0.03330459583177658</v>
      </c>
      <c r="H751">
        <v>0.05</v>
      </c>
      <c r="I751">
        <v>0.03981768986218226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0.305751765893037</v>
      </c>
      <c r="R751" t="s">
        <v>781</v>
      </c>
      <c r="S751" t="s">
        <v>793</v>
      </c>
      <c r="T751">
        <v>631.060262</v>
      </c>
      <c r="U751" s="2">
        <v>44512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19.81</v>
      </c>
      <c r="D752">
        <v>18</v>
      </c>
      <c r="E752">
        <v>1.100555555555556</v>
      </c>
      <c r="F752">
        <v>0</v>
      </c>
      <c r="G752">
        <v>-0.01898057713203471</v>
      </c>
      <c r="H752">
        <v>0.015</v>
      </c>
      <c r="I752">
        <v>0.03290683176972964</v>
      </c>
      <c r="J752" t="s">
        <v>778</v>
      </c>
      <c r="K752" t="s">
        <v>778</v>
      </c>
      <c r="L752">
        <v>-0.6899999999999999</v>
      </c>
      <c r="M752">
        <v>0</v>
      </c>
      <c r="N752">
        <v>-0</v>
      </c>
      <c r="O752">
        <v>0</v>
      </c>
      <c r="P752">
        <v>0.06016789231717445</v>
      </c>
      <c r="Q752">
        <v>0.371569317382125</v>
      </c>
      <c r="R752" t="s">
        <v>781</v>
      </c>
      <c r="S752" t="s">
        <v>793</v>
      </c>
      <c r="T752">
        <v>4608.979199</v>
      </c>
      <c r="U752" s="2">
        <v>44513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2.27</v>
      </c>
      <c r="D753">
        <v>3</v>
      </c>
      <c r="E753">
        <v>0.7566666666666667</v>
      </c>
      <c r="F753">
        <v>0</v>
      </c>
      <c r="G753">
        <v>0.05735075445026561</v>
      </c>
      <c r="H753">
        <v>-0.025</v>
      </c>
      <c r="I753">
        <v>0.03091698558900902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-0.100401606425702</v>
      </c>
      <c r="R753" t="s">
        <v>780</v>
      </c>
      <c r="S753" t="s">
        <v>792</v>
      </c>
      <c r="T753">
        <v>290.290423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3.4255</v>
      </c>
      <c r="D754">
        <v>2.16</v>
      </c>
      <c r="E754">
        <v>1.58587962962963</v>
      </c>
      <c r="F754">
        <v>0</v>
      </c>
      <c r="G754">
        <v>-0.08810264533638545</v>
      </c>
      <c r="H754">
        <v>0.03</v>
      </c>
      <c r="I754">
        <v>-0.0291810505422132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0.06000153927394081</v>
      </c>
      <c r="Q754">
        <v>0.362726950494269</v>
      </c>
      <c r="R754" t="s">
        <v>779</v>
      </c>
      <c r="S754" t="s">
        <v>786</v>
      </c>
      <c r="T754">
        <v>614.689838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790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789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474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710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726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396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630</v>
      </c>
      <c r="B243">
        <v>43819</v>
      </c>
    </row>
    <row r="244" spans="1:2">
      <c r="A244" s="1" t="s">
        <v>647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635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661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670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401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645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687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729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683</v>
      </c>
      <c r="B342">
        <v>43760</v>
      </c>
    </row>
    <row r="343" spans="1:2">
      <c r="A343" s="1" t="s">
        <v>636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364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574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663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669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682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745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722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675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689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709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718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584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723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492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449</v>
      </c>
      <c r="B483">
        <v>43832</v>
      </c>
    </row>
    <row r="484" spans="1:2">
      <c r="A484" s="1" t="s">
        <v>376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703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698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705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648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668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623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740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751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719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743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736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695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388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219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678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725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688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692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352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514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651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565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554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383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622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397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735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673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503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509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504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199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607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677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693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641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582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191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480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700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365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706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493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583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749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267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372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323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345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420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482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387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540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724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637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513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546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737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560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393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487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727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418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757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210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220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634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555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747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533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753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576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650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766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750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512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544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368</v>
      </c>
      <c r="B2047">
        <v>43819</v>
      </c>
    </row>
    <row r="2048" spans="1:2">
      <c r="A2048" s="1" t="s">
        <v>759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655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699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760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547</v>
      </c>
      <c r="B2124" t="s">
        <v>778</v>
      </c>
    </row>
    <row r="2125" spans="1:2">
      <c r="A2125" s="1" t="s">
        <v>586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511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639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537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404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716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405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550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761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240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92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556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728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704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230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212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538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488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205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495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571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567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225</v>
      </c>
      <c r="B2440">
        <v>43861</v>
      </c>
    </row>
    <row r="2441" spans="1:2">
      <c r="A2441" s="1" t="s">
        <v>322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632</v>
      </c>
      <c r="B2444">
        <v>43823</v>
      </c>
    </row>
    <row r="2445" spans="1:2">
      <c r="A2445" s="1" t="s">
        <v>684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354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386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500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399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730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520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42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400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524</v>
      </c>
      <c r="B2584">
        <v>43846</v>
      </c>
    </row>
    <row r="2585" spans="1:2">
      <c r="A2585" s="1" t="s">
        <v>441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392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604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657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732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626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146</v>
      </c>
      <c r="B2652">
        <v>43832</v>
      </c>
    </row>
    <row r="2653" spans="1:2">
      <c r="A2653" s="1" t="s">
        <v>483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553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721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336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521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350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652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249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202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566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660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754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358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66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239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55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548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525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686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273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43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286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223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63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532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31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357</v>
      </c>
      <c r="B2987">
        <v>43803</v>
      </c>
    </row>
    <row r="2988" spans="1:2">
      <c r="A2988" s="1" t="s">
        <v>279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127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353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557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247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530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272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266</v>
      </c>
      <c r="B3062">
        <v>43801</v>
      </c>
    </row>
    <row r="3063" spans="1:2">
      <c r="A3063" s="1" t="s">
        <v>54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707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429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498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551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507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341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748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575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382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180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606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69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519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438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380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572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96</v>
      </c>
      <c r="B3280">
        <v>43831</v>
      </c>
    </row>
    <row r="3281" spans="1:2">
      <c r="A3281" s="1" t="s">
        <v>374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416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558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234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263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744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561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58</v>
      </c>
      <c r="B3364">
        <v>43818</v>
      </c>
    </row>
    <row r="3365" spans="1:2">
      <c r="A3365" s="1" t="s">
        <v>282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110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104</v>
      </c>
      <c r="B3400">
        <v>43845</v>
      </c>
    </row>
    <row r="3401" spans="1:2">
      <c r="A3401" s="1" t="s">
        <v>361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203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501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362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221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253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47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243</v>
      </c>
      <c r="B3463">
        <v>43845</v>
      </c>
    </row>
    <row r="3464" spans="1:2">
      <c r="A3464" s="1" t="s">
        <v>195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681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662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76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269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257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562</v>
      </c>
      <c r="B3529">
        <v>43801</v>
      </c>
    </row>
    <row r="3530" spans="1:2">
      <c r="A3530" s="1" t="s">
        <v>46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211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367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568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713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113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485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41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421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218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185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415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280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236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123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198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83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233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294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402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36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390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375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489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564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335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342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563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91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731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587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78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105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603</v>
      </c>
      <c r="B4011">
        <v>43851</v>
      </c>
    </row>
    <row r="4012" spans="1:2">
      <c r="A4012" s="1" t="s">
        <v>366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417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292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85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67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340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284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224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691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291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295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125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371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34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351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690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306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457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338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278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80</v>
      </c>
      <c r="B4447">
        <v>43815</v>
      </c>
    </row>
    <row r="4448" spans="1:2">
      <c r="A4448" s="1" t="s">
        <v>133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523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250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275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258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64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62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303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97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298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491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82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285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289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208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238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142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462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496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192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111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52</v>
      </c>
      <c r="B4809">
        <v>43816</v>
      </c>
    </row>
    <row r="4810" spans="1:2">
      <c r="A4810" s="1" t="s">
        <v>591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431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204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425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505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349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186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300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363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151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112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27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51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68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138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215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86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101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333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476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559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155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134</v>
      </c>
      <c r="B5207">
        <v>43871</v>
      </c>
    </row>
    <row r="5208" spans="1:2">
      <c r="A5208" s="1" t="s">
        <v>697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117</v>
      </c>
      <c r="B5274">
        <v>43801</v>
      </c>
    </row>
    <row r="5275" spans="1:2">
      <c r="A5275" s="1" t="s">
        <v>355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245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84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436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271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156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129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242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228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344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270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87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107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432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456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437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296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209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74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40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153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251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379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590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124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643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403</v>
      </c>
      <c r="B5927">
        <v>43784</v>
      </c>
    </row>
    <row r="5928" spans="1:2">
      <c r="A5928" s="1" t="s">
        <v>309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720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115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95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158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517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460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56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162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65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479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508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570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385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579</v>
      </c>
      <c r="B6348">
        <v>43755</v>
      </c>
    </row>
    <row r="6349" spans="1:2">
      <c r="A6349" s="1" t="s">
        <v>164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422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419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60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717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213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679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217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518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2021-11-16T07:14:10Z</dcterms:created>
  <dcterms:modified xsi:type="dcterms:W3CDTF">2021-11-16T07:14:10Z</dcterms:modified>
</cp:coreProperties>
</file>