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<sst xmlns="http://schemas.openxmlformats.org/spreadsheetml/2006/main" count="20795" uniqueCount="10145">
  <si>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</si>
  <si>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</si>
  <si>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</si>
  <si>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</si>
  <si>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</si>
  <si>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</si>
  <si>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</si>
  <si>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</si>
  <si>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</si>
  <si>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</si>
  <si>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</si>
  <si>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</si>
  <si>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</si>
  <si>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</si>
  <si>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</si>
  <si>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</si>
  <si>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</si>
  <si>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</si>
  <si>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</si>
  <si>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</si>
  <si>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</si>
  <si>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</si>
  <si>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</si>
  <si>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</si>
  <si>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</si>
  <si>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</si>
  <si>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</si>
  <si>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SLGN</t>
  </si>
  <si>
    <t>FDX</t>
  </si>
  <si>
    <t>PII</t>
  </si>
  <si>
    <t>NOC</t>
  </si>
  <si>
    <t>MDU</t>
  </si>
  <si>
    <t>ADM</t>
  </si>
  <si>
    <t>CHRW</t>
  </si>
  <si>
    <t>WBA</t>
  </si>
  <si>
    <t>UNM</t>
  </si>
  <si>
    <t>RGLD</t>
  </si>
  <si>
    <t>BDX</t>
  </si>
  <si>
    <t>BANF</t>
  </si>
  <si>
    <t>JW.A</t>
  </si>
  <si>
    <t>CAH</t>
  </si>
  <si>
    <t>NIDB</t>
  </si>
  <si>
    <t>ATO</t>
  </si>
  <si>
    <t>EFSI</t>
  </si>
  <si>
    <t>ABBV</t>
  </si>
  <si>
    <t>SWK</t>
  </si>
  <si>
    <t>QCOM</t>
  </si>
  <si>
    <t>SYK</t>
  </si>
  <si>
    <t>JNJ</t>
  </si>
  <si>
    <t>PH</t>
  </si>
  <si>
    <t>LEG</t>
  </si>
  <si>
    <t>TNC</t>
  </si>
  <si>
    <t>BKH</t>
  </si>
  <si>
    <t>ANTM</t>
  </si>
  <si>
    <t>MMM</t>
  </si>
  <si>
    <t>FMCB</t>
  </si>
  <si>
    <t>SKM</t>
  </si>
  <si>
    <t>LHX</t>
  </si>
  <si>
    <t>AFL</t>
  </si>
  <si>
    <t>TMO</t>
  </si>
  <si>
    <t>LOW</t>
  </si>
  <si>
    <t>CINF</t>
  </si>
  <si>
    <t>WHR</t>
  </si>
  <si>
    <t>V</t>
  </si>
  <si>
    <t>ROP</t>
  </si>
  <si>
    <t>NWN</t>
  </si>
  <si>
    <t>RNR</t>
  </si>
  <si>
    <t>NFG</t>
  </si>
  <si>
    <t>CTBI</t>
  </si>
  <si>
    <t>BRC</t>
  </si>
  <si>
    <t>SEIC</t>
  </si>
  <si>
    <t>CP</t>
  </si>
  <si>
    <t>EBTC</t>
  </si>
  <si>
    <t>CPKF</t>
  </si>
  <si>
    <t>WMT</t>
  </si>
  <si>
    <t>LANC</t>
  </si>
  <si>
    <t>AIZ</t>
  </si>
  <si>
    <t>MATW</t>
  </si>
  <si>
    <t>CL</t>
  </si>
  <si>
    <t>DG</t>
  </si>
  <si>
    <t>AXS</t>
  </si>
  <si>
    <t>SON</t>
  </si>
  <si>
    <t>MCK</t>
  </si>
  <si>
    <t>MKC</t>
  </si>
  <si>
    <t>TSN</t>
  </si>
  <si>
    <t>INTU</t>
  </si>
  <si>
    <t>SYY</t>
  </si>
  <si>
    <t>BEN</t>
  </si>
  <si>
    <t>TRV</t>
  </si>
  <si>
    <t>BBY</t>
  </si>
  <si>
    <t>ABC</t>
  </si>
  <si>
    <t>AMP</t>
  </si>
  <si>
    <t>UGI</t>
  </si>
  <si>
    <t>KO</t>
  </si>
  <si>
    <t>GD</t>
  </si>
  <si>
    <t>FFMR</t>
  </si>
  <si>
    <t>VFC</t>
  </si>
  <si>
    <t>GPC</t>
  </si>
  <si>
    <t>EXPD</t>
  </si>
  <si>
    <t>ORCL</t>
  </si>
  <si>
    <t>ADP</t>
  </si>
  <si>
    <t>PPG</t>
  </si>
  <si>
    <t>PNR</t>
  </si>
  <si>
    <t>TXT</t>
  </si>
  <si>
    <t>KR</t>
  </si>
  <si>
    <t>CSX</t>
  </si>
  <si>
    <t>CAT</t>
  </si>
  <si>
    <t>BRO</t>
  </si>
  <si>
    <t>HRL</t>
  </si>
  <si>
    <t>CBSH</t>
  </si>
  <si>
    <t>SCL</t>
  </si>
  <si>
    <t>LECO</t>
  </si>
  <si>
    <t>EMR</t>
  </si>
  <si>
    <t>MDT</t>
  </si>
  <si>
    <t>JKHY</t>
  </si>
  <si>
    <t>CHD</t>
  </si>
  <si>
    <t>AROW</t>
  </si>
  <si>
    <t>RE</t>
  </si>
  <si>
    <t>FUL</t>
  </si>
  <si>
    <t>CSL</t>
  </si>
  <si>
    <t>TGT</t>
  </si>
  <si>
    <t>CSVI</t>
  </si>
  <si>
    <t>COST</t>
  </si>
  <si>
    <t>THFF</t>
  </si>
  <si>
    <t>WSM</t>
  </si>
  <si>
    <t>DOV</t>
  </si>
  <si>
    <t>PSBQ</t>
  </si>
  <si>
    <t>MCD</t>
  </si>
  <si>
    <t>PG</t>
  </si>
  <si>
    <t>OZK</t>
  </si>
  <si>
    <t>MCO</t>
  </si>
  <si>
    <t>RPM</t>
  </si>
  <si>
    <t>SPGI</t>
  </si>
  <si>
    <t>CB</t>
  </si>
  <si>
    <t>ITW</t>
  </si>
  <si>
    <t>AXP</t>
  </si>
  <si>
    <t>AAPL</t>
  </si>
  <si>
    <t>GRC</t>
  </si>
  <si>
    <t>ABT</t>
  </si>
  <si>
    <t>SRCE</t>
  </si>
  <si>
    <t>TROW</t>
  </si>
  <si>
    <t>GWW</t>
  </si>
  <si>
    <t>NKE</t>
  </si>
  <si>
    <t>TSCO</t>
  </si>
  <si>
    <t>FELE</t>
  </si>
  <si>
    <t>UBSI</t>
  </si>
  <si>
    <t>MSFT</t>
  </si>
  <si>
    <t>SJW</t>
  </si>
  <si>
    <t>LIN</t>
  </si>
  <si>
    <t>AOS</t>
  </si>
  <si>
    <t>AMAT</t>
  </si>
  <si>
    <t>CWT</t>
  </si>
  <si>
    <t>MGEE</t>
  </si>
  <si>
    <t>ATR</t>
  </si>
  <si>
    <t>TMP</t>
  </si>
  <si>
    <t>CTAS</t>
  </si>
  <si>
    <t>ECL</t>
  </si>
  <si>
    <t>SHW</t>
  </si>
  <si>
    <t>MSA</t>
  </si>
  <si>
    <t>BF.B</t>
  </si>
  <si>
    <t>NDSN</t>
  </si>
  <si>
    <t>EBAY</t>
  </si>
  <si>
    <t>WST</t>
  </si>
  <si>
    <t>ZTS</t>
  </si>
  <si>
    <t>AWR</t>
  </si>
  <si>
    <t>MORN</t>
  </si>
  <si>
    <t>RLI</t>
  </si>
  <si>
    <t>NUE</t>
  </si>
  <si>
    <t>BAM</t>
  </si>
  <si>
    <t>BMI</t>
  </si>
  <si>
    <t>MSEX</t>
  </si>
  <si>
    <t>ALB</t>
  </si>
  <si>
    <t>CI</t>
  </si>
  <si>
    <t>PNGAY</t>
  </si>
  <si>
    <t>T</t>
  </si>
  <si>
    <t>LAD</t>
  </si>
  <si>
    <t>VZ</t>
  </si>
  <si>
    <t>CMCSA</t>
  </si>
  <si>
    <t>LAZ</t>
  </si>
  <si>
    <t>AMGN</t>
  </si>
  <si>
    <t>NC</t>
  </si>
  <si>
    <t>IPG</t>
  </si>
  <si>
    <t>WU</t>
  </si>
  <si>
    <t>OMC</t>
  </si>
  <si>
    <t>SRE</t>
  </si>
  <si>
    <t>INTC</t>
  </si>
  <si>
    <t>SAP</t>
  </si>
  <si>
    <t>SR</t>
  </si>
  <si>
    <t>MO</t>
  </si>
  <si>
    <t>NVS</t>
  </si>
  <si>
    <t>YUM</t>
  </si>
  <si>
    <t>SUN</t>
  </si>
  <si>
    <t>FLIC</t>
  </si>
  <si>
    <t>RDEIY</t>
  </si>
  <si>
    <t>EVRG</t>
  </si>
  <si>
    <t>LMT</t>
  </si>
  <si>
    <t>TDS</t>
  </si>
  <si>
    <t>GILD</t>
  </si>
  <si>
    <t>EPD</t>
  </si>
  <si>
    <t>ENB</t>
  </si>
  <si>
    <t>SWX</t>
  </si>
  <si>
    <t>NJR</t>
  </si>
  <si>
    <t>MURGF</t>
  </si>
  <si>
    <t>FNV</t>
  </si>
  <si>
    <t>KDP</t>
  </si>
  <si>
    <t>FTS</t>
  </si>
  <si>
    <t>HII</t>
  </si>
  <si>
    <t>BNS</t>
  </si>
  <si>
    <t>BR</t>
  </si>
  <si>
    <t>IMO</t>
  </si>
  <si>
    <t>BLK</t>
  </si>
  <si>
    <t>CDUAF</t>
  </si>
  <si>
    <t>SLF</t>
  </si>
  <si>
    <t>EMN</t>
  </si>
  <si>
    <t>GWLIF</t>
  </si>
  <si>
    <t>BIP</t>
  </si>
  <si>
    <t>OGN</t>
  </si>
  <si>
    <t>MSM</t>
  </si>
  <si>
    <t>MDLZ</t>
  </si>
  <si>
    <t>TD</t>
  </si>
  <si>
    <t>MRK</t>
  </si>
  <si>
    <t>UNH</t>
  </si>
  <si>
    <t>RBGLY</t>
  </si>
  <si>
    <t>TTC</t>
  </si>
  <si>
    <t>IBM</t>
  </si>
  <si>
    <t>RY</t>
  </si>
  <si>
    <t>SNA</t>
  </si>
  <si>
    <t>HD</t>
  </si>
  <si>
    <t>FMS</t>
  </si>
  <si>
    <t>BMO</t>
  </si>
  <si>
    <t>HBI</t>
  </si>
  <si>
    <t>CM</t>
  </si>
  <si>
    <t>TXN</t>
  </si>
  <si>
    <t>PBCT</t>
  </si>
  <si>
    <t>CMI</t>
  </si>
  <si>
    <t>MET</t>
  </si>
  <si>
    <t>EQIX</t>
  </si>
  <si>
    <t>UVV</t>
  </si>
  <si>
    <t>NTIOF</t>
  </si>
  <si>
    <t>PB</t>
  </si>
  <si>
    <t>LNT</t>
  </si>
  <si>
    <t>BAH</t>
  </si>
  <si>
    <t>DPZ</t>
  </si>
  <si>
    <t>FOXA</t>
  </si>
  <si>
    <t>EIX</t>
  </si>
  <si>
    <t>RBA</t>
  </si>
  <si>
    <t>XOM</t>
  </si>
  <si>
    <t>ORI</t>
  </si>
  <si>
    <t>RELX</t>
  </si>
  <si>
    <t>AMX</t>
  </si>
  <si>
    <t>CSCO</t>
  </si>
  <si>
    <t>DTE</t>
  </si>
  <si>
    <t>CONE</t>
  </si>
  <si>
    <t>K</t>
  </si>
  <si>
    <t>ARTNA</t>
  </si>
  <si>
    <t>CVS</t>
  </si>
  <si>
    <t>CIO</t>
  </si>
  <si>
    <t>CVX</t>
  </si>
  <si>
    <t>WEYS</t>
  </si>
  <si>
    <t>YORW</t>
  </si>
  <si>
    <t>HRB</t>
  </si>
  <si>
    <t>SBUX</t>
  </si>
  <si>
    <t>KMB</t>
  </si>
  <si>
    <t>CLX</t>
  </si>
  <si>
    <t>SPTN</t>
  </si>
  <si>
    <t>PRGO</t>
  </si>
  <si>
    <t>SJM</t>
  </si>
  <si>
    <t>UPS</t>
  </si>
  <si>
    <t>CTSH</t>
  </si>
  <si>
    <t>ETR</t>
  </si>
  <si>
    <t>RSG</t>
  </si>
  <si>
    <t>NEP</t>
  </si>
  <si>
    <t>ICE</t>
  </si>
  <si>
    <t>WABC</t>
  </si>
  <si>
    <t>OTTR</t>
  </si>
  <si>
    <t>ED</t>
  </si>
  <si>
    <t>SBAC</t>
  </si>
  <si>
    <t>SIEGY</t>
  </si>
  <si>
    <t>MTB</t>
  </si>
  <si>
    <t>RTX</t>
  </si>
  <si>
    <t>XEL</t>
  </si>
  <si>
    <t>LRLCF</t>
  </si>
  <si>
    <t>DE</t>
  </si>
  <si>
    <t>NSC</t>
  </si>
  <si>
    <t>PEP</t>
  </si>
  <si>
    <t>AAP</t>
  </si>
  <si>
    <t>AMT</t>
  </si>
  <si>
    <t>NEE</t>
  </si>
  <si>
    <t>HSY</t>
  </si>
  <si>
    <t>GEF</t>
  </si>
  <si>
    <t>AWK</t>
  </si>
  <si>
    <t>RHHBY</t>
  </si>
  <si>
    <t>SBSI</t>
  </si>
  <si>
    <t>DDS</t>
  </si>
  <si>
    <t>UNP</t>
  </si>
  <si>
    <t>IFF</t>
  </si>
  <si>
    <t>MGRC</t>
  </si>
  <si>
    <t>RMD</t>
  </si>
  <si>
    <t>TR</t>
  </si>
  <si>
    <t>INGR</t>
  </si>
  <si>
    <t>HON</t>
  </si>
  <si>
    <t>AJG</t>
  </si>
  <si>
    <t>CARR</t>
  </si>
  <si>
    <t>WTRG</t>
  </si>
  <si>
    <t>MWA</t>
  </si>
  <si>
    <t>NVO</t>
  </si>
  <si>
    <t>ROK</t>
  </si>
  <si>
    <t>APD</t>
  </si>
  <si>
    <t>FRT</t>
  </si>
  <si>
    <t>OTIS</t>
  </si>
  <si>
    <t>CNI</t>
  </si>
  <si>
    <t>TT</t>
  </si>
  <si>
    <t>ESS</t>
  </si>
  <si>
    <t>UNF</t>
  </si>
  <si>
    <t>CFR</t>
  </si>
  <si>
    <t>WM</t>
  </si>
  <si>
    <t>UMBF</t>
  </si>
  <si>
    <t>ERIE</t>
  </si>
  <si>
    <t>CBU</t>
  </si>
  <si>
    <t>LLY</t>
  </si>
  <si>
    <t>XYL</t>
  </si>
  <si>
    <t>HMLP</t>
  </si>
  <si>
    <t>MCHP</t>
  </si>
  <si>
    <t>MFGP</t>
  </si>
  <si>
    <t>VTRS</t>
  </si>
  <si>
    <t>TX</t>
  </si>
  <si>
    <t>COLD</t>
  </si>
  <si>
    <t>MDC</t>
  </si>
  <si>
    <t>JACK</t>
  </si>
  <si>
    <t>FL</t>
  </si>
  <si>
    <t>TRTN</t>
  </si>
  <si>
    <t>SJI</t>
  </si>
  <si>
    <t>MMP</t>
  </si>
  <si>
    <t>LYB</t>
  </si>
  <si>
    <t>PNW</t>
  </si>
  <si>
    <t>DKS</t>
  </si>
  <si>
    <t>BTI</t>
  </si>
  <si>
    <t>ALLY</t>
  </si>
  <si>
    <t>DGX</t>
  </si>
  <si>
    <t>THO</t>
  </si>
  <si>
    <t>TTE</t>
  </si>
  <si>
    <t>FNF</t>
  </si>
  <si>
    <t>OGS</t>
  </si>
  <si>
    <t>EQNR</t>
  </si>
  <si>
    <t>LRCX</t>
  </si>
  <si>
    <t>ALL</t>
  </si>
  <si>
    <t>PHM</t>
  </si>
  <si>
    <t>SNY</t>
  </si>
  <si>
    <t>OGE</t>
  </si>
  <si>
    <t>JBL</t>
  </si>
  <si>
    <t>AEG</t>
  </si>
  <si>
    <t>TYCB</t>
  </si>
  <si>
    <t>DFS</t>
  </si>
  <si>
    <t>DHI</t>
  </si>
  <si>
    <t>CC</t>
  </si>
  <si>
    <t>SYF</t>
  </si>
  <si>
    <t>HPE</t>
  </si>
  <si>
    <t>HPQ</t>
  </si>
  <si>
    <t>NHI</t>
  </si>
  <si>
    <t>BASFY</t>
  </si>
  <si>
    <t>PFG</t>
  </si>
  <si>
    <t>LNC</t>
  </si>
  <si>
    <t>UL</t>
  </si>
  <si>
    <t>SMG</t>
  </si>
  <si>
    <t>FAF</t>
  </si>
  <si>
    <t>STN</t>
  </si>
  <si>
    <t>POR</t>
  </si>
  <si>
    <t>MPLX</t>
  </si>
  <si>
    <t>NAVI</t>
  </si>
  <si>
    <t>TM</t>
  </si>
  <si>
    <t>C</t>
  </si>
  <si>
    <t>PM</t>
  </si>
  <si>
    <t>GPS</t>
  </si>
  <si>
    <t>PRU</t>
  </si>
  <si>
    <t>CE</t>
  </si>
  <si>
    <t>CPB</t>
  </si>
  <si>
    <t>IVZ</t>
  </si>
  <si>
    <t>ALE</t>
  </si>
  <si>
    <t>RGA</t>
  </si>
  <si>
    <t>HUN</t>
  </si>
  <si>
    <t>ITUB</t>
  </si>
  <si>
    <t>RCI</t>
  </si>
  <si>
    <t>AEP</t>
  </si>
  <si>
    <t>ROST</t>
  </si>
  <si>
    <t>FLO</t>
  </si>
  <si>
    <t>KSS</t>
  </si>
  <si>
    <t>NLSN</t>
  </si>
  <si>
    <t>VIAC</t>
  </si>
  <si>
    <t>GEO</t>
  </si>
  <si>
    <t>SAXPY</t>
  </si>
  <si>
    <t>OKE</t>
  </si>
  <si>
    <t>KLAC</t>
  </si>
  <si>
    <t>SVC</t>
  </si>
  <si>
    <t>GIS</t>
  </si>
  <si>
    <t>UHT</t>
  </si>
  <si>
    <t>PKX</t>
  </si>
  <si>
    <t>GLOP</t>
  </si>
  <si>
    <t>WFC</t>
  </si>
  <si>
    <t>CFG</t>
  </si>
  <si>
    <t>DDAIF</t>
  </si>
  <si>
    <t>SO</t>
  </si>
  <si>
    <t>CUBE</t>
  </si>
  <si>
    <t>O</t>
  </si>
  <si>
    <t>R</t>
  </si>
  <si>
    <t>BK</t>
  </si>
  <si>
    <t>AON</t>
  </si>
  <si>
    <t>BMWYY</t>
  </si>
  <si>
    <t>ASML</t>
  </si>
  <si>
    <t>WY</t>
  </si>
  <si>
    <t>MGA</t>
  </si>
  <si>
    <t>MA</t>
  </si>
  <si>
    <t>WEC</t>
  </si>
  <si>
    <t>KEY</t>
  </si>
  <si>
    <t>JPM</t>
  </si>
  <si>
    <t>PNC</t>
  </si>
  <si>
    <t>WPC</t>
  </si>
  <si>
    <t>PDCO</t>
  </si>
  <si>
    <t>HAL</t>
  </si>
  <si>
    <t>BUD</t>
  </si>
  <si>
    <t>BWA</t>
  </si>
  <si>
    <t>HOG</t>
  </si>
  <si>
    <t>MMC</t>
  </si>
  <si>
    <t>GE</t>
  </si>
  <si>
    <t>PEG</t>
  </si>
  <si>
    <t>DUK</t>
  </si>
  <si>
    <t>NNN</t>
  </si>
  <si>
    <t>PSB</t>
  </si>
  <si>
    <t>ESRT</t>
  </si>
  <si>
    <t>STZ</t>
  </si>
  <si>
    <t>BAC</t>
  </si>
  <si>
    <t>GOLD</t>
  </si>
  <si>
    <t>GS</t>
  </si>
  <si>
    <t>FITB</t>
  </si>
  <si>
    <t>GNTX</t>
  </si>
  <si>
    <t>AGM</t>
  </si>
  <si>
    <t>DLR</t>
  </si>
  <si>
    <t>APLE</t>
  </si>
  <si>
    <t>KLIC</t>
  </si>
  <si>
    <t>LOGI</t>
  </si>
  <si>
    <t>CMA</t>
  </si>
  <si>
    <t>PAYX</t>
  </si>
  <si>
    <t>OSK</t>
  </si>
  <si>
    <t>PACW</t>
  </si>
  <si>
    <t>PSA</t>
  </si>
  <si>
    <t>MRVL</t>
  </si>
  <si>
    <t>ABB</t>
  </si>
  <si>
    <t>DEO</t>
  </si>
  <si>
    <t>M</t>
  </si>
  <si>
    <t>NSRGY</t>
  </si>
  <si>
    <t>FAST</t>
  </si>
  <si>
    <t>EAF</t>
  </si>
  <si>
    <t>AVB</t>
  </si>
  <si>
    <t>HNI</t>
  </si>
  <si>
    <t>TER</t>
  </si>
  <si>
    <t>FCX</t>
  </si>
  <si>
    <t>AUY</t>
  </si>
  <si>
    <t>MT</t>
  </si>
  <si>
    <t>INFY</t>
  </si>
  <si>
    <t>RACE</t>
  </si>
  <si>
    <t>STLD</t>
  </si>
  <si>
    <t>KSU</t>
  </si>
  <si>
    <t>TRGP</t>
  </si>
  <si>
    <t>KKR</t>
  </si>
  <si>
    <t>SONY</t>
  </si>
  <si>
    <t>APA</t>
  </si>
  <si>
    <t>TRI</t>
  </si>
  <si>
    <t>NVDA</t>
  </si>
  <si>
    <t>VMC</t>
  </si>
  <si>
    <t>OLN</t>
  </si>
  <si>
    <t>DHC</t>
  </si>
  <si>
    <t>ERF</t>
  </si>
  <si>
    <t>SHLX</t>
  </si>
  <si>
    <t>PBR</t>
  </si>
  <si>
    <t>HEP</t>
  </si>
  <si>
    <t>SPH</t>
  </si>
  <si>
    <t>ARLP</t>
  </si>
  <si>
    <t>BHP</t>
  </si>
  <si>
    <t>PAA</t>
  </si>
  <si>
    <t>ERIC</t>
  </si>
  <si>
    <t>PGR</t>
  </si>
  <si>
    <t>MS</t>
  </si>
  <si>
    <t>PTR</t>
  </si>
  <si>
    <t>AVAL</t>
  </si>
  <si>
    <t>TPR</t>
  </si>
  <si>
    <t>VALE</t>
  </si>
  <si>
    <t>HSBC</t>
  </si>
  <si>
    <t>KRC</t>
  </si>
  <si>
    <t>UNIT</t>
  </si>
  <si>
    <t>ET</t>
  </si>
  <si>
    <t>TGP</t>
  </si>
  <si>
    <t>NYCB</t>
  </si>
  <si>
    <t>GORO</t>
  </si>
  <si>
    <t>PSX</t>
  </si>
  <si>
    <t>TAP</t>
  </si>
  <si>
    <t>WEN</t>
  </si>
  <si>
    <t>SLG</t>
  </si>
  <si>
    <t>MGP</t>
  </si>
  <si>
    <t>LUMN</t>
  </si>
  <si>
    <t>IMBBY</t>
  </si>
  <si>
    <t>MFC</t>
  </si>
  <si>
    <t>BP</t>
  </si>
  <si>
    <t>TFC</t>
  </si>
  <si>
    <t>DOW</t>
  </si>
  <si>
    <t>PFE</t>
  </si>
  <si>
    <t>DRI</t>
  </si>
  <si>
    <t>AZN</t>
  </si>
  <si>
    <t>RIO</t>
  </si>
  <si>
    <t>WSBC</t>
  </si>
  <si>
    <t>OPI</t>
  </si>
  <si>
    <t>MKTX</t>
  </si>
  <si>
    <t>XRX</t>
  </si>
  <si>
    <t>SAFE</t>
  </si>
  <si>
    <t>RDS.B</t>
  </si>
  <si>
    <t>BAYRY</t>
  </si>
  <si>
    <t>D</t>
  </si>
  <si>
    <t>TRST</t>
  </si>
  <si>
    <t>HAS</t>
  </si>
  <si>
    <t>PGRE</t>
  </si>
  <si>
    <t>CAG</t>
  </si>
  <si>
    <t>WASH</t>
  </si>
  <si>
    <t>FRFHF</t>
  </si>
  <si>
    <t>NTR</t>
  </si>
  <si>
    <t>KMI</t>
  </si>
  <si>
    <t>RF</t>
  </si>
  <si>
    <t>NGG</t>
  </si>
  <si>
    <t>PHG</t>
  </si>
  <si>
    <t>WMB</t>
  </si>
  <si>
    <t>SBS</t>
  </si>
  <si>
    <t>SPG</t>
  </si>
  <si>
    <t>AMCR</t>
  </si>
  <si>
    <t>DD</t>
  </si>
  <si>
    <t>MCY</t>
  </si>
  <si>
    <t>INVH</t>
  </si>
  <si>
    <t>CNP</t>
  </si>
  <si>
    <t>FE</t>
  </si>
  <si>
    <t>NWL</t>
  </si>
  <si>
    <t>PDM</t>
  </si>
  <si>
    <t>WSR</t>
  </si>
  <si>
    <t>MPW</t>
  </si>
  <si>
    <t>HIW</t>
  </si>
  <si>
    <t>CNA</t>
  </si>
  <si>
    <t>PETS</t>
  </si>
  <si>
    <t>IP</t>
  </si>
  <si>
    <t>SMFG</t>
  </si>
  <si>
    <t>EMRAF</t>
  </si>
  <si>
    <t>LMRK</t>
  </si>
  <si>
    <t>DEA</t>
  </si>
  <si>
    <t>HASI</t>
  </si>
  <si>
    <t>PCAR</t>
  </si>
  <si>
    <t>ADC</t>
  </si>
  <si>
    <t>AGNC</t>
  </si>
  <si>
    <t>CAJ</t>
  </si>
  <si>
    <t>JNPR</t>
  </si>
  <si>
    <t>GLW</t>
  </si>
  <si>
    <t>HBAN</t>
  </si>
  <si>
    <t>UE</t>
  </si>
  <si>
    <t>NTAP</t>
  </si>
  <si>
    <t>AES</t>
  </si>
  <si>
    <t>ALV</t>
  </si>
  <si>
    <t>DEI</t>
  </si>
  <si>
    <t>KHC</t>
  </si>
  <si>
    <t>WPP</t>
  </si>
  <si>
    <t>BBD</t>
  </si>
  <si>
    <t>AVGO</t>
  </si>
  <si>
    <t>CCI</t>
  </si>
  <si>
    <t>NSP</t>
  </si>
  <si>
    <t>BXP</t>
  </si>
  <si>
    <t>GRMN</t>
  </si>
  <si>
    <t>COP</t>
  </si>
  <si>
    <t>CORR</t>
  </si>
  <si>
    <t>TJX</t>
  </si>
  <si>
    <t>TS</t>
  </si>
  <si>
    <t>REG</t>
  </si>
  <si>
    <t>USB</t>
  </si>
  <si>
    <t>HMC</t>
  </si>
  <si>
    <t>STX</t>
  </si>
  <si>
    <t>ING</t>
  </si>
  <si>
    <t>SUUIF</t>
  </si>
  <si>
    <t>DOC</t>
  </si>
  <si>
    <t>TU</t>
  </si>
  <si>
    <t>TSM</t>
  </si>
  <si>
    <t>GEL</t>
  </si>
  <si>
    <t>KRG</t>
  </si>
  <si>
    <t>CODI</t>
  </si>
  <si>
    <t>WRK</t>
  </si>
  <si>
    <t>EGP</t>
  </si>
  <si>
    <t>PLD</t>
  </si>
  <si>
    <t>MPWR</t>
  </si>
  <si>
    <t>UBS</t>
  </si>
  <si>
    <t>PSO</t>
  </si>
  <si>
    <t>KTB</t>
  </si>
  <si>
    <t>TRSWF</t>
  </si>
  <si>
    <t>BRX</t>
  </si>
  <si>
    <t>DRE</t>
  </si>
  <si>
    <t>APO</t>
  </si>
  <si>
    <t>ARE</t>
  </si>
  <si>
    <t>MAC</t>
  </si>
  <si>
    <t>SKT</t>
  </si>
  <si>
    <t>PLYM</t>
  </si>
  <si>
    <t>EOG</t>
  </si>
  <si>
    <t>COR</t>
  </si>
  <si>
    <t>ELS</t>
  </si>
  <si>
    <t>LXP</t>
  </si>
  <si>
    <t>EXPO</t>
  </si>
  <si>
    <t>SLB</t>
  </si>
  <si>
    <t>FR</t>
  </si>
  <si>
    <t>CF</t>
  </si>
  <si>
    <t>EXC</t>
  </si>
  <si>
    <t>CNQ</t>
  </si>
  <si>
    <t>MAA</t>
  </si>
  <si>
    <t>AMH</t>
  </si>
  <si>
    <t>CME</t>
  </si>
  <si>
    <t>WPM</t>
  </si>
  <si>
    <t>OGZPY</t>
  </si>
  <si>
    <t>JCI</t>
  </si>
  <si>
    <t>ACN</t>
  </si>
  <si>
    <t>CWEN</t>
  </si>
  <si>
    <t>CPT</t>
  </si>
  <si>
    <t>KIM</t>
  </si>
  <si>
    <t>ETN</t>
  </si>
  <si>
    <t>LAMR</t>
  </si>
  <si>
    <t>SCHL</t>
  </si>
  <si>
    <t>TEF</t>
  </si>
  <si>
    <t>SCCO</t>
  </si>
  <si>
    <t>SNP</t>
  </si>
  <si>
    <t>OHI</t>
  </si>
  <si>
    <t>IIPR</t>
  </si>
  <si>
    <t>APAM</t>
  </si>
  <si>
    <t>ORAN</t>
  </si>
  <si>
    <t>CLPR</t>
  </si>
  <si>
    <t>PSXP</t>
  </si>
  <si>
    <t>GECC</t>
  </si>
  <si>
    <t>PMT</t>
  </si>
  <si>
    <t>VGR</t>
  </si>
  <si>
    <t>SU</t>
  </si>
  <si>
    <t>VICI</t>
  </si>
  <si>
    <t>DHT</t>
  </si>
  <si>
    <t>PINE</t>
  </si>
  <si>
    <t>IEP</t>
  </si>
  <si>
    <t>QSR</t>
  </si>
  <si>
    <t>LTC</t>
  </si>
  <si>
    <t>TWO</t>
  </si>
  <si>
    <t>NEWT</t>
  </si>
  <si>
    <t>USAC</t>
  </si>
  <si>
    <t>CQP</t>
  </si>
  <si>
    <t>CTO</t>
  </si>
  <si>
    <t>EFC</t>
  </si>
  <si>
    <t>CTRE</t>
  </si>
  <si>
    <t>SBRA</t>
  </si>
  <si>
    <t>TRP</t>
  </si>
  <si>
    <t>WSO</t>
  </si>
  <si>
    <t>MRCC</t>
  </si>
  <si>
    <t>ORCC</t>
  </si>
  <si>
    <t>ORC</t>
  </si>
  <si>
    <t>AFIN</t>
  </si>
  <si>
    <t>CWCO</t>
  </si>
  <si>
    <t>SRC</t>
  </si>
  <si>
    <t>UMH</t>
  </si>
  <si>
    <t>FCPT</t>
  </si>
  <si>
    <t>AQN</t>
  </si>
  <si>
    <t>EXR</t>
  </si>
  <si>
    <t>EPRT</t>
  </si>
  <si>
    <t>GNL</t>
  </si>
  <si>
    <t>VOD</t>
  </si>
  <si>
    <t>SFL</t>
  </si>
  <si>
    <t>GSBD</t>
  </si>
  <si>
    <t>HR</t>
  </si>
  <si>
    <t>AAT</t>
  </si>
  <si>
    <t>NYMT</t>
  </si>
  <si>
    <t>KREF</t>
  </si>
  <si>
    <t>KNOP</t>
  </si>
  <si>
    <t>NRZ</t>
  </si>
  <si>
    <t>EIFZF</t>
  </si>
  <si>
    <t>NLY</t>
  </si>
  <si>
    <t>SSREY</t>
  </si>
  <si>
    <t>NTST</t>
  </si>
  <si>
    <t>EPR</t>
  </si>
  <si>
    <t>CHCT</t>
  </si>
  <si>
    <t>ACRE</t>
  </si>
  <si>
    <t>NMFC</t>
  </si>
  <si>
    <t>SACH</t>
  </si>
  <si>
    <t>VST</t>
  </si>
  <si>
    <t>E</t>
  </si>
  <si>
    <t>LWSCF</t>
  </si>
  <si>
    <t>GBDC</t>
  </si>
  <si>
    <t>DTEGY</t>
  </si>
  <si>
    <t>EVA</t>
  </si>
  <si>
    <t>ILPT</t>
  </si>
  <si>
    <t>CSWC</t>
  </si>
  <si>
    <t>GSK</t>
  </si>
  <si>
    <t>TSLX</t>
  </si>
  <si>
    <t>FDUS</t>
  </si>
  <si>
    <t>VNO</t>
  </si>
  <si>
    <t>GMRE</t>
  </si>
  <si>
    <t>NEM</t>
  </si>
  <si>
    <t>HRZN</t>
  </si>
  <si>
    <t>STWD</t>
  </si>
  <si>
    <t>CBRL</t>
  </si>
  <si>
    <t>NSA</t>
  </si>
  <si>
    <t>EIC</t>
  </si>
  <si>
    <t>ARR</t>
  </si>
  <si>
    <t>IDEXY</t>
  </si>
  <si>
    <t>PFLT</t>
  </si>
  <si>
    <t>STOR</t>
  </si>
  <si>
    <t>BRMK</t>
  </si>
  <si>
    <t>GLPI</t>
  </si>
  <si>
    <t>VTR</t>
  </si>
  <si>
    <t>BEP</t>
  </si>
  <si>
    <t>TPVG</t>
  </si>
  <si>
    <t>ARCC</t>
  </si>
  <si>
    <t>VIA</t>
  </si>
  <si>
    <t>DX</t>
  </si>
  <si>
    <t>VLO</t>
  </si>
  <si>
    <t>AM</t>
  </si>
  <si>
    <t>GOOD</t>
  </si>
  <si>
    <t>HTA</t>
  </si>
  <si>
    <t>BGS</t>
  </si>
  <si>
    <t>SUNS</t>
  </si>
  <si>
    <t>BX</t>
  </si>
  <si>
    <t>DANOY</t>
  </si>
  <si>
    <t>APTS</t>
  </si>
  <si>
    <t>ABEV</t>
  </si>
  <si>
    <t>HTGC</t>
  </si>
  <si>
    <t>LSI</t>
  </si>
  <si>
    <t>ACC</t>
  </si>
  <si>
    <t>BCE</t>
  </si>
  <si>
    <t>SJT</t>
  </si>
  <si>
    <t>SCM</t>
  </si>
  <si>
    <t>OXSQ</t>
  </si>
  <si>
    <t>PBA</t>
  </si>
  <si>
    <t>ARI</t>
  </si>
  <si>
    <t>MAIN</t>
  </si>
  <si>
    <t>CIM</t>
  </si>
  <si>
    <t>BKR</t>
  </si>
  <si>
    <t>IRT</t>
  </si>
  <si>
    <t>IRM</t>
  </si>
  <si>
    <t>EQR</t>
  </si>
  <si>
    <t>LADR</t>
  </si>
  <si>
    <t>STAG</t>
  </si>
  <si>
    <t>PRT</t>
  </si>
  <si>
    <t>BXMT</t>
  </si>
  <si>
    <t>OLP</t>
  </si>
  <si>
    <t>SBR</t>
  </si>
  <si>
    <t>SJR</t>
  </si>
  <si>
    <t>PEAK</t>
  </si>
  <si>
    <t>PSEC</t>
  </si>
  <si>
    <t>UDR</t>
  </si>
  <si>
    <t>CRT</t>
  </si>
  <si>
    <t>DRETF</t>
  </si>
  <si>
    <t>GLAD</t>
  </si>
  <si>
    <t>MNR</t>
  </si>
  <si>
    <t>UBA</t>
  </si>
  <si>
    <t>GAIN</t>
  </si>
  <si>
    <t>MPC</t>
  </si>
  <si>
    <t>ABR</t>
  </si>
  <si>
    <t>PPRQF</t>
  </si>
  <si>
    <t>CMP</t>
  </si>
  <si>
    <t>GWRS</t>
  </si>
  <si>
    <t>DREUF</t>
  </si>
  <si>
    <t>LAND</t>
  </si>
  <si>
    <t>WELL</t>
  </si>
  <si>
    <t>AB</t>
  </si>
  <si>
    <t>OXY</t>
  </si>
  <si>
    <t>HP</t>
  </si>
  <si>
    <t>PBT</t>
  </si>
  <si>
    <t>PPL</t>
  </si>
  <si>
    <t>GROW</t>
  </si>
  <si>
    <t>CVA</t>
  </si>
  <si>
    <t>PTEN</t>
  </si>
  <si>
    <t>MGM</t>
  </si>
  <si>
    <t>HFC</t>
  </si>
  <si>
    <t>CLDT</t>
  </si>
  <si>
    <t>NGL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</si>
  <si>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</si>
  <si>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</si>
  <si>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</si>
  <si>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</si>
  <si>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</si>
  <si>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</si>
  <si>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</si>
  <si>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</si>
  <si>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</si>
  <si>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</si>
  <si>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</si>
  <si>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</si>
  <si>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</si>
  <si>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</si>
  <si>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</si>
  <si>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</si>
  <si>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Consumer Defensive</t>
  </si>
  <si>
    <t>Financial Services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</si>
  <si>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</si>
  <si>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</si>
  <si>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</si>
  <si>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</si>
  <si>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</si>
  <si>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</si>
  <si>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</si>
  <si>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</si>
  <si>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Eli Inkrot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</si>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</sst>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61.84</v>
      </c>
      <c r="D2">
        <v>75</v>
      </c>
      <c r="E2">
        <v>0.8245333333333333</v>
      </c>
      <c r="F2">
        <v>0.004366106080206986</v>
      </c>
      <c r="G2">
        <v>0.0393417102731477</v>
      </c>
      <c r="H2">
        <v>0.18</v>
      </c>
      <c r="I2">
        <v>0.2298785175897622</v>
      </c>
      <c r="J2" t="s">
        <v>775</v>
      </c>
      <c r="K2" t="s">
        <v>370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-0.238161914460285</v>
      </c>
      <c r="R2" t="s">
        <v>779</v>
      </c>
      <c r="S2" t="s">
        <v>783</v>
      </c>
      <c r="T2">
        <v>574335.93351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59.39</v>
      </c>
      <c r="D3">
        <v>101</v>
      </c>
      <c r="E3">
        <v>0.588019801980198</v>
      </c>
      <c r="F3">
        <v>0.03300218892069372</v>
      </c>
      <c r="G3">
        <v>0.112043074303589</v>
      </c>
      <c r="H3">
        <v>0.03</v>
      </c>
      <c r="I3">
        <v>0.1668283652738094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-0.04269860461971101</v>
      </c>
      <c r="R3" t="s">
        <v>779</v>
      </c>
      <c r="S3" t="s">
        <v>784</v>
      </c>
      <c r="T3">
        <v>131980.087835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160.31</v>
      </c>
      <c r="D4">
        <v>174</v>
      </c>
      <c r="E4">
        <v>0.9213218390804598</v>
      </c>
      <c r="F4">
        <v>0.0139729274530597</v>
      </c>
      <c r="G4">
        <v>0.0165242108953163</v>
      </c>
      <c r="H4">
        <v>0.1</v>
      </c>
      <c r="I4">
        <v>0.1296091818061174</v>
      </c>
      <c r="J4" t="s">
        <v>775</v>
      </c>
      <c r="K4" t="s">
        <v>370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0.149473578072615</v>
      </c>
      <c r="R4" t="s">
        <v>779</v>
      </c>
      <c r="S4" t="s">
        <v>785</v>
      </c>
      <c r="T4">
        <v>27110.191873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48.11</v>
      </c>
      <c r="D5">
        <v>61</v>
      </c>
      <c r="E5">
        <v>0.7886885245901639</v>
      </c>
      <c r="F5">
        <v>0.01579713157347745</v>
      </c>
      <c r="G5">
        <v>0.04862183264143138</v>
      </c>
      <c r="H5">
        <v>0.05</v>
      </c>
      <c r="I5">
        <v>0.112556828682536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0.21745927539971</v>
      </c>
      <c r="R5" t="s">
        <v>779</v>
      </c>
      <c r="S5" t="s">
        <v>786</v>
      </c>
      <c r="T5">
        <v>3204.712542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61.61</v>
      </c>
      <c r="D6">
        <v>64</v>
      </c>
      <c r="E6">
        <v>0.96265625</v>
      </c>
      <c r="F6">
        <v>0.01428339555267002</v>
      </c>
      <c r="G6">
        <v>0.007640820889680766</v>
      </c>
      <c r="H6">
        <v>0.09</v>
      </c>
      <c r="I6">
        <v>0.1104763080164126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0.196714014633879</v>
      </c>
      <c r="R6" t="s">
        <v>779</v>
      </c>
      <c r="S6" t="s">
        <v>786</v>
      </c>
      <c r="T6">
        <v>7601.865963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41.51</v>
      </c>
      <c r="D7">
        <v>43</v>
      </c>
      <c r="E7">
        <v>0.9653488372093023</v>
      </c>
      <c r="F7">
        <v>0.01349072512647555</v>
      </c>
      <c r="G7">
        <v>0.007078082775335393</v>
      </c>
      <c r="H7">
        <v>0.09</v>
      </c>
      <c r="I7">
        <v>0.1099041022554892</v>
      </c>
      <c r="J7" t="s">
        <v>775</v>
      </c>
      <c r="K7" t="s">
        <v>370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0.229639092941552</v>
      </c>
      <c r="R7" t="s">
        <v>779</v>
      </c>
      <c r="S7" t="s">
        <v>787</v>
      </c>
      <c r="T7">
        <v>4590.857322</v>
      </c>
      <c r="U7" s="2">
        <v>44500</v>
      </c>
      <c r="V7" t="s">
        <v>794</v>
      </c>
    </row>
    <row r="8" spans="1:22">
      <c r="A8" s="1" t="s">
        <v>28</v>
      </c>
      <c r="B8">
        <f>HYPERLINK("https://www.suredividend.com/sure-analysis-FDX/","Fedex Corp")</f>
        <v>0</v>
      </c>
      <c r="C8">
        <v>248.52</v>
      </c>
      <c r="D8">
        <v>296</v>
      </c>
      <c r="E8">
        <v>0.8395945945945946</v>
      </c>
      <c r="F8">
        <v>0.01207146306132303</v>
      </c>
      <c r="G8">
        <v>0.03558576777499001</v>
      </c>
      <c r="H8">
        <v>0.06</v>
      </c>
      <c r="I8">
        <v>0.1074741872899647</v>
      </c>
      <c r="J8" t="s">
        <v>775</v>
      </c>
      <c r="K8" t="s">
        <v>370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-0.044940400651866</v>
      </c>
      <c r="R8" t="s">
        <v>779</v>
      </c>
      <c r="S8" t="s">
        <v>786</v>
      </c>
      <c r="T8">
        <v>66274.375971</v>
      </c>
      <c r="U8" s="2">
        <v>44464</v>
      </c>
      <c r="V8" t="s">
        <v>794</v>
      </c>
    </row>
    <row r="9" spans="1:22">
      <c r="A9" s="1" t="s">
        <v>29</v>
      </c>
      <c r="B9">
        <f>HYPERLINK("https://www.suredividend.com/sure-analysis-PII/","Polaris Inc")</f>
        <v>0</v>
      </c>
      <c r="C9">
        <v>119.78</v>
      </c>
      <c r="D9">
        <v>144</v>
      </c>
      <c r="E9">
        <v>0.8318055555555556</v>
      </c>
      <c r="F9">
        <v>0.02103857071297378</v>
      </c>
      <c r="G9">
        <v>0.03751799188466842</v>
      </c>
      <c r="H9">
        <v>0.05</v>
      </c>
      <c r="I9">
        <v>0.1069270973557137</v>
      </c>
      <c r="J9" t="s">
        <v>775</v>
      </c>
      <c r="K9" t="s">
        <v>776</v>
      </c>
      <c r="L9">
        <v>9</v>
      </c>
      <c r="M9">
        <v>2.52</v>
      </c>
      <c r="N9">
        <v>0.28</v>
      </c>
      <c r="O9">
        <v>26</v>
      </c>
      <c r="P9">
        <v>0.06483841633998533</v>
      </c>
      <c r="Q9">
        <v>0.383308414534247</v>
      </c>
      <c r="R9" t="s">
        <v>779</v>
      </c>
      <c r="S9" t="s">
        <v>788</v>
      </c>
      <c r="T9">
        <v>7326.715823</v>
      </c>
      <c r="U9" s="2">
        <v>44496</v>
      </c>
      <c r="V9" t="s">
        <v>799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362.1</v>
      </c>
      <c r="D10">
        <v>381</v>
      </c>
      <c r="E10">
        <v>0.9503937007874016</v>
      </c>
      <c r="F10">
        <v>0.01734327533830433</v>
      </c>
      <c r="G10">
        <v>0.01022774109841396</v>
      </c>
      <c r="H10">
        <v>0.08</v>
      </c>
      <c r="I10">
        <v>0.106135111133109</v>
      </c>
      <c r="J10" t="s">
        <v>775</v>
      </c>
      <c r="K10" t="s">
        <v>776</v>
      </c>
      <c r="L10">
        <v>25.4</v>
      </c>
      <c r="M10">
        <v>6.28</v>
      </c>
      <c r="N10">
        <v>0.247244094488189</v>
      </c>
      <c r="O10">
        <v>18</v>
      </c>
      <c r="P10">
        <v>0.0800613160089807</v>
      </c>
      <c r="Q10">
        <v>0.226166745491351</v>
      </c>
      <c r="R10" t="s">
        <v>779</v>
      </c>
      <c r="S10" t="s">
        <v>786</v>
      </c>
      <c r="T10">
        <v>57790.141626</v>
      </c>
      <c r="U10" s="2">
        <v>44504</v>
      </c>
      <c r="V10" t="s">
        <v>800</v>
      </c>
    </row>
    <row r="11" spans="1:22">
      <c r="A11" s="1" t="s">
        <v>31</v>
      </c>
      <c r="B11">
        <f>HYPERLINK("https://www.suredividend.com/sure-analysis-MDU/","MDU Resources Group Inc")</f>
        <v>0</v>
      </c>
      <c r="C11">
        <v>29.06</v>
      </c>
      <c r="D11">
        <v>34</v>
      </c>
      <c r="E11">
        <v>0.8547058823529411</v>
      </c>
      <c r="F11">
        <v>0.02924982794218858</v>
      </c>
      <c r="G11">
        <v>0.03189774030170067</v>
      </c>
      <c r="H11">
        <v>0.05</v>
      </c>
      <c r="I11">
        <v>0.1054308951705683</v>
      </c>
      <c r="J11" t="s">
        <v>775</v>
      </c>
      <c r="K11" t="s">
        <v>775</v>
      </c>
      <c r="L11">
        <v>2.1</v>
      </c>
      <c r="M11">
        <v>0.85</v>
      </c>
      <c r="N11">
        <v>0.4047619047619047</v>
      </c>
      <c r="O11">
        <v>30</v>
      </c>
      <c r="P11">
        <v>0.02463800770149693</v>
      </c>
      <c r="Q11">
        <v>0.170884390529683</v>
      </c>
      <c r="R11" t="s">
        <v>779</v>
      </c>
      <c r="S11" t="s">
        <v>787</v>
      </c>
      <c r="T11">
        <v>5785.475979</v>
      </c>
      <c r="U11" s="2">
        <v>44428</v>
      </c>
      <c r="V11" t="s">
        <v>798</v>
      </c>
    </row>
    <row r="12" spans="1:22">
      <c r="A12" s="1" t="s">
        <v>32</v>
      </c>
      <c r="B12">
        <f>HYPERLINK("https://www.suredividend.com/sure-analysis-ADM/","Archer Daniels Midland Co.")</f>
        <v>0</v>
      </c>
      <c r="C12">
        <v>65.39</v>
      </c>
      <c r="D12">
        <v>74</v>
      </c>
      <c r="E12">
        <v>0.8836486486486487</v>
      </c>
      <c r="F12">
        <v>0.02263343018810215</v>
      </c>
      <c r="G12">
        <v>0.02504770228919084</v>
      </c>
      <c r="H12">
        <v>0.06</v>
      </c>
      <c r="I12">
        <v>0.1037822770880557</v>
      </c>
      <c r="J12" t="s">
        <v>775</v>
      </c>
      <c r="K12" t="s">
        <v>775</v>
      </c>
      <c r="L12">
        <v>4.9</v>
      </c>
      <c r="M12">
        <v>1.48</v>
      </c>
      <c r="N12">
        <v>0.3020408163265306</v>
      </c>
      <c r="O12">
        <v>46</v>
      </c>
      <c r="P12">
        <v>0.03051269507716325</v>
      </c>
      <c r="Q12">
        <v>0.341023282145637</v>
      </c>
      <c r="R12" t="s">
        <v>779</v>
      </c>
      <c r="S12" t="s">
        <v>789</v>
      </c>
      <c r="T12">
        <v>36044.800382</v>
      </c>
      <c r="U12" s="2">
        <v>44507</v>
      </c>
      <c r="V12" t="s">
        <v>796</v>
      </c>
    </row>
    <row r="13" spans="1:22">
      <c r="A13" s="1" t="s">
        <v>33</v>
      </c>
      <c r="B13">
        <f>HYPERLINK("https://www.suredividend.com/sure-analysis-CHRW/","C.H. Robinson Worldwide, Inc.")</f>
        <v>0</v>
      </c>
      <c r="C13">
        <v>92.86</v>
      </c>
      <c r="D13">
        <v>100</v>
      </c>
      <c r="E13">
        <v>0.9286</v>
      </c>
      <c r="F13">
        <v>0.02229162179625242</v>
      </c>
      <c r="G13">
        <v>0.014925733325442</v>
      </c>
      <c r="H13">
        <v>0.07000000000000001</v>
      </c>
      <c r="I13">
        <v>0.1034613695861126</v>
      </c>
      <c r="J13" t="s">
        <v>775</v>
      </c>
      <c r="K13" t="s">
        <v>776</v>
      </c>
      <c r="L13">
        <v>5.55</v>
      </c>
      <c r="M13">
        <v>2.07</v>
      </c>
      <c r="N13">
        <v>0.3729729729729729</v>
      </c>
      <c r="O13">
        <v>22</v>
      </c>
      <c r="P13">
        <v>0.04012620718096094</v>
      </c>
      <c r="Q13">
        <v>0.0251799344268</v>
      </c>
      <c r="R13" t="s">
        <v>779</v>
      </c>
      <c r="S13" t="s">
        <v>786</v>
      </c>
      <c r="T13">
        <v>12242.219171</v>
      </c>
      <c r="U13" s="2">
        <v>44495</v>
      </c>
      <c r="V13" t="s">
        <v>796</v>
      </c>
    </row>
    <row r="14" spans="1:22">
      <c r="A14" s="1" t="s">
        <v>34</v>
      </c>
      <c r="B14">
        <f>HYPERLINK("https://www.suredividend.com/sure-analysis-WBA/","Walgreens Boots Alliance Inc")</f>
        <v>0</v>
      </c>
      <c r="C14">
        <v>48.97</v>
      </c>
      <c r="D14">
        <v>54</v>
      </c>
      <c r="E14">
        <v>0.9068518518518518</v>
      </c>
      <c r="F14">
        <v>0.03900347151317133</v>
      </c>
      <c r="G14">
        <v>0.01974769226194106</v>
      </c>
      <c r="H14">
        <v>0.05</v>
      </c>
      <c r="I14">
        <v>0.1031636577504893</v>
      </c>
      <c r="J14" t="s">
        <v>775</v>
      </c>
      <c r="K14" t="s">
        <v>775</v>
      </c>
      <c r="L14">
        <v>5.35</v>
      </c>
      <c r="M14">
        <v>1.91</v>
      </c>
      <c r="N14">
        <v>0.3570093457943925</v>
      </c>
      <c r="O14">
        <v>46</v>
      </c>
      <c r="P14">
        <v>0.0501982537579746</v>
      </c>
      <c r="Q14">
        <v>0.284026036177629</v>
      </c>
      <c r="R14" t="s">
        <v>779</v>
      </c>
      <c r="S14" t="s">
        <v>784</v>
      </c>
      <c r="T14">
        <v>42501.566778</v>
      </c>
      <c r="U14" s="2">
        <v>44483</v>
      </c>
      <c r="V14" t="s">
        <v>799</v>
      </c>
    </row>
    <row r="15" spans="1:22">
      <c r="A15" s="1" t="s">
        <v>35</v>
      </c>
      <c r="B15">
        <f>HYPERLINK("https://www.suredividend.com/sure-analysis-UNM/","Unum Group")</f>
        <v>0</v>
      </c>
      <c r="C15">
        <v>25.63</v>
      </c>
      <c r="D15">
        <v>32</v>
      </c>
      <c r="E15">
        <v>0.8009375</v>
      </c>
      <c r="F15">
        <v>0.04682013265704252</v>
      </c>
      <c r="G15">
        <v>0.0453946529892777</v>
      </c>
      <c r="H15">
        <v>0.02</v>
      </c>
      <c r="I15">
        <v>0.1021693956364209</v>
      </c>
      <c r="J15" t="s">
        <v>775</v>
      </c>
      <c r="K15" t="s">
        <v>775</v>
      </c>
      <c r="L15">
        <v>4.6</v>
      </c>
      <c r="M15">
        <v>1.2</v>
      </c>
      <c r="N15">
        <v>0.2608695652173913</v>
      </c>
      <c r="O15">
        <v>13</v>
      </c>
      <c r="P15">
        <v>0.01924487649145656</v>
      </c>
      <c r="Q15">
        <v>0.295455576102346</v>
      </c>
      <c r="R15" t="s">
        <v>779</v>
      </c>
      <c r="S15" t="s">
        <v>790</v>
      </c>
      <c r="T15">
        <v>5256.494523</v>
      </c>
      <c r="U15" s="2">
        <v>44503</v>
      </c>
      <c r="V15" t="s">
        <v>799</v>
      </c>
    </row>
    <row r="16" spans="1:22">
      <c r="A16" s="1" t="s">
        <v>36</v>
      </c>
      <c r="B16">
        <f>HYPERLINK("https://www.suredividend.com/sure-analysis-RGLD/","Royal Gold, Inc.")</f>
        <v>0</v>
      </c>
      <c r="C16">
        <v>103.94</v>
      </c>
      <c r="D16">
        <v>128</v>
      </c>
      <c r="E16">
        <v>0.81203125</v>
      </c>
      <c r="F16">
        <v>0.01154512218587647</v>
      </c>
      <c r="G16">
        <v>0.04252253510812976</v>
      </c>
      <c r="H16">
        <v>0.045</v>
      </c>
      <c r="I16">
        <v>0.09993782633034898</v>
      </c>
      <c r="J16" t="s">
        <v>775</v>
      </c>
      <c r="K16" t="s">
        <v>370</v>
      </c>
      <c r="L16">
        <v>4.18</v>
      </c>
      <c r="M16">
        <v>1.2</v>
      </c>
      <c r="N16">
        <v>0.2870813397129187</v>
      </c>
      <c r="O16">
        <v>20</v>
      </c>
      <c r="P16">
        <v>0.0904307661344419</v>
      </c>
      <c r="Q16">
        <v>-0.124394157027778</v>
      </c>
      <c r="R16" t="s">
        <v>779</v>
      </c>
      <c r="S16" t="s">
        <v>787</v>
      </c>
      <c r="T16">
        <v>6842.031214</v>
      </c>
      <c r="U16" s="2">
        <v>44508</v>
      </c>
      <c r="V16" t="s">
        <v>801</v>
      </c>
    </row>
    <row r="17" spans="1:22">
      <c r="A17" s="1" t="s">
        <v>37</v>
      </c>
      <c r="B17">
        <f>HYPERLINK("https://www.suredividend.com/sure-analysis-BDX/","Becton, Dickinson And Co.")</f>
        <v>0</v>
      </c>
      <c r="C17">
        <v>245.88</v>
      </c>
      <c r="D17">
        <v>231</v>
      </c>
      <c r="E17">
        <v>1.064415584415584</v>
      </c>
      <c r="F17">
        <v>0.01415324548560273</v>
      </c>
      <c r="G17">
        <v>-0.01240756379430119</v>
      </c>
      <c r="H17">
        <v>0.1</v>
      </c>
      <c r="I17">
        <v>0.09966298837918619</v>
      </c>
      <c r="J17" t="s">
        <v>775</v>
      </c>
      <c r="K17" t="s">
        <v>776</v>
      </c>
      <c r="L17">
        <v>12.4</v>
      </c>
      <c r="M17">
        <v>3.48</v>
      </c>
      <c r="N17">
        <v>0.2806451612903226</v>
      </c>
      <c r="O17">
        <v>50</v>
      </c>
      <c r="P17">
        <v>0.09982036375468772</v>
      </c>
      <c r="Q17">
        <v>0.027756512056082</v>
      </c>
      <c r="R17" t="s">
        <v>779</v>
      </c>
      <c r="S17" t="s">
        <v>784</v>
      </c>
      <c r="T17">
        <v>69976.759259</v>
      </c>
      <c r="U17" s="2">
        <v>44507</v>
      </c>
      <c r="V17" t="s">
        <v>795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68.05</v>
      </c>
      <c r="D18">
        <v>74</v>
      </c>
      <c r="E18">
        <v>0.9195945945945946</v>
      </c>
      <c r="F18">
        <v>0.02116091109478325</v>
      </c>
      <c r="G18">
        <v>0.01690578516704799</v>
      </c>
      <c r="H18">
        <v>0.06</v>
      </c>
      <c r="I18">
        <v>0.0960496322230644</v>
      </c>
      <c r="J18" t="s">
        <v>775</v>
      </c>
      <c r="K18" t="s">
        <v>776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0.329732424470216</v>
      </c>
      <c r="R18" t="s">
        <v>779</v>
      </c>
      <c r="S18" t="s">
        <v>790</v>
      </c>
      <c r="T18">
        <v>2206.767702</v>
      </c>
      <c r="U18" s="2">
        <v>44492</v>
      </c>
      <c r="V18" t="s">
        <v>796</v>
      </c>
    </row>
    <row r="19" spans="1:22">
      <c r="A19" s="1" t="s">
        <v>39</v>
      </c>
      <c r="B19">
        <f>HYPERLINK("https://www.suredividend.com/sure-analysis-JW.A/","John Wiley &amp; Sons Inc.")</f>
        <v>0</v>
      </c>
      <c r="C19">
        <v>54.28</v>
      </c>
      <c r="D19">
        <v>62</v>
      </c>
      <c r="E19">
        <v>0.8754838709677419</v>
      </c>
      <c r="F19">
        <v>0.02542372881355932</v>
      </c>
      <c r="G19">
        <v>0.02695253220114502</v>
      </c>
      <c r="H19">
        <v>0.045</v>
      </c>
      <c r="I19">
        <v>0.09335631935882627</v>
      </c>
      <c r="J19" t="s">
        <v>775</v>
      </c>
      <c r="K19" t="s">
        <v>776</v>
      </c>
      <c r="L19">
        <v>4.12</v>
      </c>
      <c r="M19">
        <v>1.38</v>
      </c>
      <c r="N19">
        <v>0.3349514563106796</v>
      </c>
      <c r="O19">
        <v>28</v>
      </c>
      <c r="P19">
        <v>0.03002598081465924</v>
      </c>
      <c r="Q19">
        <v>0.634566572272613</v>
      </c>
      <c r="R19" t="s">
        <v>779</v>
      </c>
      <c r="S19" t="s">
        <v>783</v>
      </c>
      <c r="T19">
        <v>2984.916281</v>
      </c>
      <c r="U19" s="2">
        <v>44453</v>
      </c>
      <c r="V19" t="s">
        <v>797</v>
      </c>
    </row>
    <row r="20" spans="1:22">
      <c r="A20" s="1" t="s">
        <v>40</v>
      </c>
      <c r="B20">
        <f>HYPERLINK("https://www.suredividend.com/sure-analysis-CAH/","Cardinal Health, Inc.")</f>
        <v>0</v>
      </c>
      <c r="C20">
        <v>50.3</v>
      </c>
      <c r="D20">
        <v>58</v>
      </c>
      <c r="E20">
        <v>0.8672413793103447</v>
      </c>
      <c r="F20">
        <v>0.0389662027833002</v>
      </c>
      <c r="G20">
        <v>0.02889723873296113</v>
      </c>
      <c r="H20">
        <v>0.03</v>
      </c>
      <c r="I20">
        <v>0.09244669006733353</v>
      </c>
      <c r="J20" t="s">
        <v>775</v>
      </c>
      <c r="K20" t="s">
        <v>775</v>
      </c>
      <c r="L20">
        <v>5.75</v>
      </c>
      <c r="M20">
        <v>1.96</v>
      </c>
      <c r="N20">
        <v>0.3408695652173913</v>
      </c>
      <c r="O20">
        <v>34</v>
      </c>
      <c r="P20">
        <v>0.03959498820755258</v>
      </c>
      <c r="Q20">
        <v>-0.07810671681128101</v>
      </c>
      <c r="R20" t="s">
        <v>779</v>
      </c>
      <c r="S20" t="s">
        <v>784</v>
      </c>
      <c r="T20">
        <v>13994.890801</v>
      </c>
      <c r="U20" s="2">
        <v>44417</v>
      </c>
      <c r="V20" t="s">
        <v>799</v>
      </c>
    </row>
    <row r="21" spans="1:22">
      <c r="A21" s="1" t="s">
        <v>41</v>
      </c>
      <c r="B21">
        <f>HYPERLINK("https://www.suredividend.com/sure-analysis-NIDB/","Northeast Indiana Bancorp Inc.")</f>
        <v>0</v>
      </c>
      <c r="C21">
        <v>44.46</v>
      </c>
      <c r="D21">
        <v>54</v>
      </c>
      <c r="E21">
        <v>0.8233333333333334</v>
      </c>
      <c r="F21">
        <v>0.02699055330634278</v>
      </c>
      <c r="G21">
        <v>0.03964449980411033</v>
      </c>
      <c r="H21">
        <v>0.03</v>
      </c>
      <c r="I21">
        <v>0.09238730650498628</v>
      </c>
      <c r="J21" t="s">
        <v>775</v>
      </c>
      <c r="K21" t="s">
        <v>775</v>
      </c>
      <c r="L21">
        <v>6</v>
      </c>
      <c r="M21">
        <v>1.2</v>
      </c>
      <c r="N21">
        <v>0.2</v>
      </c>
      <c r="O21">
        <v>27</v>
      </c>
      <c r="P21">
        <v>0.02983277847878951</v>
      </c>
      <c r="Q21">
        <v>0.270285714285714</v>
      </c>
      <c r="R21" t="s">
        <v>779</v>
      </c>
      <c r="S21" t="s">
        <v>790</v>
      </c>
      <c r="T21">
        <v>53.484713</v>
      </c>
      <c r="U21" s="2">
        <v>44503</v>
      </c>
      <c r="V21" t="s">
        <v>795</v>
      </c>
    </row>
    <row r="22" spans="1:22">
      <c r="A22" s="1" t="s">
        <v>42</v>
      </c>
      <c r="B22">
        <f>HYPERLINK("https://www.suredividend.com/sure-analysis-ATO/","Atmos Energy Corp.")</f>
        <v>0</v>
      </c>
      <c r="C22">
        <v>94.06999999999999</v>
      </c>
      <c r="D22">
        <v>97</v>
      </c>
      <c r="E22">
        <v>0.9697938144329896</v>
      </c>
      <c r="F22">
        <v>0.02657595407675136</v>
      </c>
      <c r="G22">
        <v>0.006153212213120041</v>
      </c>
      <c r="H22">
        <v>0.06</v>
      </c>
      <c r="I22">
        <v>0.09135266597129577</v>
      </c>
      <c r="J22" t="s">
        <v>775</v>
      </c>
      <c r="K22" t="s">
        <v>776</v>
      </c>
      <c r="L22">
        <v>5.1</v>
      </c>
      <c r="M22">
        <v>2.5</v>
      </c>
      <c r="N22">
        <v>0.4901960784313726</v>
      </c>
      <c r="O22">
        <v>37</v>
      </c>
      <c r="P22">
        <v>0.07980469415608438</v>
      </c>
      <c r="Q22">
        <v>-0.028867067186884</v>
      </c>
      <c r="R22" t="s">
        <v>779</v>
      </c>
      <c r="S22" t="s">
        <v>791</v>
      </c>
      <c r="T22">
        <v>12181.856323</v>
      </c>
      <c r="U22" s="2">
        <v>44427</v>
      </c>
      <c r="V22" t="s">
        <v>798</v>
      </c>
    </row>
    <row r="23" spans="1:22">
      <c r="A23" s="1" t="s">
        <v>43</v>
      </c>
      <c r="B23">
        <f>HYPERLINK("https://www.suredividend.com/sure-analysis-EFSI/","Eagle Financial Services, Inc.")</f>
        <v>0</v>
      </c>
      <c r="C23">
        <v>35.44</v>
      </c>
      <c r="D23">
        <v>37</v>
      </c>
      <c r="E23">
        <v>0.9578378378378378</v>
      </c>
      <c r="F23">
        <v>0.03160270880361174</v>
      </c>
      <c r="G23">
        <v>0.008652576381086741</v>
      </c>
      <c r="H23">
        <v>0.055</v>
      </c>
      <c r="I23">
        <v>0.09097261420363201</v>
      </c>
      <c r="J23" t="s">
        <v>775</v>
      </c>
      <c r="K23" t="s">
        <v>775</v>
      </c>
      <c r="L23">
        <v>3.4</v>
      </c>
      <c r="M23">
        <v>1.12</v>
      </c>
      <c r="N23">
        <v>0.3294117647058824</v>
      </c>
      <c r="O23">
        <v>35</v>
      </c>
      <c r="P23">
        <v>0.04563955259127317</v>
      </c>
      <c r="Q23">
        <v>0.367984744133268</v>
      </c>
      <c r="R23" t="s">
        <v>779</v>
      </c>
      <c r="S23" t="s">
        <v>790</v>
      </c>
      <c r="T23">
        <v>119.781188</v>
      </c>
      <c r="U23" s="2">
        <v>44505</v>
      </c>
      <c r="V23" t="s">
        <v>797</v>
      </c>
    </row>
    <row r="24" spans="1:22">
      <c r="A24" s="1" t="s">
        <v>44</v>
      </c>
      <c r="B24">
        <f>HYPERLINK("https://www.suredividend.com/sure-analysis-ABBV/","Abbvie Inc")</f>
        <v>0</v>
      </c>
      <c r="C24">
        <v>116.75</v>
      </c>
      <c r="D24">
        <v>127</v>
      </c>
      <c r="E24">
        <v>0.9192913385826772</v>
      </c>
      <c r="F24">
        <v>0.04830835117773019</v>
      </c>
      <c r="G24">
        <v>0.016972867732991</v>
      </c>
      <c r="H24">
        <v>0.03</v>
      </c>
      <c r="I24">
        <v>0.09038956958934374</v>
      </c>
      <c r="J24" t="s">
        <v>775</v>
      </c>
      <c r="K24" t="s">
        <v>775</v>
      </c>
      <c r="L24">
        <v>12.65</v>
      </c>
      <c r="M24">
        <v>5.64</v>
      </c>
      <c r="N24">
        <v>0.4458498023715415</v>
      </c>
      <c r="O24">
        <v>50</v>
      </c>
      <c r="P24">
        <v>0.05005169060192549</v>
      </c>
      <c r="Q24">
        <v>0.273709213982266</v>
      </c>
      <c r="R24" t="s">
        <v>779</v>
      </c>
      <c r="S24" t="s">
        <v>784</v>
      </c>
      <c r="T24">
        <v>204303.163255</v>
      </c>
      <c r="U24" s="2">
        <v>44504</v>
      </c>
      <c r="V24" t="s">
        <v>797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187.4</v>
      </c>
      <c r="D25">
        <v>182</v>
      </c>
      <c r="E25">
        <v>1.02967032967033</v>
      </c>
      <c r="F25">
        <v>0.01686232657417289</v>
      </c>
      <c r="G25">
        <v>-0.005830671813707666</v>
      </c>
      <c r="H25">
        <v>0.08</v>
      </c>
      <c r="I25">
        <v>0.08931320117194197</v>
      </c>
      <c r="J25" t="s">
        <v>775</v>
      </c>
      <c r="K25" t="s">
        <v>776</v>
      </c>
      <c r="L25">
        <v>11</v>
      </c>
      <c r="M25">
        <v>3.16</v>
      </c>
      <c r="N25">
        <v>0.2872727272727273</v>
      </c>
      <c r="O25">
        <v>54</v>
      </c>
      <c r="P25">
        <v>0.07985683020954282</v>
      </c>
      <c r="Q25">
        <v>0.075730217251504</v>
      </c>
      <c r="R25" t="s">
        <v>779</v>
      </c>
      <c r="S25" t="s">
        <v>786</v>
      </c>
      <c r="T25">
        <v>30640.128401</v>
      </c>
      <c r="U25" s="2">
        <v>44500</v>
      </c>
      <c r="V25" t="s">
        <v>795</v>
      </c>
    </row>
    <row r="26" spans="1:22">
      <c r="A26" s="1" t="s">
        <v>46</v>
      </c>
      <c r="B26">
        <f>HYPERLINK("https://www.suredividend.com/sure-analysis-QCOM/","Qualcomm, Inc.")</f>
        <v>0</v>
      </c>
      <c r="C26">
        <v>159.8</v>
      </c>
      <c r="D26">
        <v>162</v>
      </c>
      <c r="E26">
        <v>0.9864197530864198</v>
      </c>
      <c r="F26">
        <v>0.01702127659574468</v>
      </c>
      <c r="G26">
        <v>0.002738402974536314</v>
      </c>
      <c r="H26">
        <v>0.07000000000000001</v>
      </c>
      <c r="I26">
        <v>0.08827859536244187</v>
      </c>
      <c r="J26" t="s">
        <v>775</v>
      </c>
      <c r="K26" t="s">
        <v>776</v>
      </c>
      <c r="L26">
        <v>10.14</v>
      </c>
      <c r="M26">
        <v>2.72</v>
      </c>
      <c r="N26">
        <v>0.2682445759368836</v>
      </c>
      <c r="O26">
        <v>19</v>
      </c>
      <c r="P26">
        <v>0.06972270615977982</v>
      </c>
      <c r="Q26">
        <v>0.191388052108401</v>
      </c>
      <c r="R26" t="s">
        <v>779</v>
      </c>
      <c r="S26" t="s">
        <v>785</v>
      </c>
      <c r="T26">
        <v>186748.8</v>
      </c>
      <c r="U26" s="2">
        <v>44505</v>
      </c>
      <c r="V26" t="s">
        <v>795</v>
      </c>
    </row>
    <row r="27" spans="1:22">
      <c r="A27" s="1" t="s">
        <v>47</v>
      </c>
      <c r="B27">
        <f>HYPERLINK("https://www.suredividend.com/sure-analysis-SYK/","Stryker Corp.")</f>
        <v>0</v>
      </c>
      <c r="C27">
        <v>271.06</v>
      </c>
      <c r="D27">
        <v>223</v>
      </c>
      <c r="E27">
        <v>1.215515695067265</v>
      </c>
      <c r="F27">
        <v>0.009296834649155169</v>
      </c>
      <c r="G27">
        <v>-0.03828168728989723</v>
      </c>
      <c r="H27">
        <v>0.12</v>
      </c>
      <c r="I27">
        <v>0.08677690113632375</v>
      </c>
      <c r="J27" t="s">
        <v>775</v>
      </c>
      <c r="K27" t="s">
        <v>370</v>
      </c>
      <c r="L27">
        <v>9.119999999999999</v>
      </c>
      <c r="M27">
        <v>2.52</v>
      </c>
      <c r="N27">
        <v>0.2763157894736842</v>
      </c>
      <c r="O27">
        <v>27</v>
      </c>
      <c r="P27">
        <v>0.1199444602155453</v>
      </c>
      <c r="Q27">
        <v>0.185988637059117</v>
      </c>
      <c r="R27" t="s">
        <v>779</v>
      </c>
      <c r="S27" t="s">
        <v>784</v>
      </c>
      <c r="T27">
        <v>103765.581166</v>
      </c>
      <c r="U27" s="2">
        <v>44500</v>
      </c>
      <c r="V27" t="s">
        <v>795</v>
      </c>
    </row>
    <row r="28" spans="1:22">
      <c r="A28" s="1" t="s">
        <v>48</v>
      </c>
      <c r="B28">
        <f>HYPERLINK("https://www.suredividend.com/sure-analysis-JNJ/","Johnson &amp; Johnson")</f>
        <v>0</v>
      </c>
      <c r="C28">
        <v>164.27</v>
      </c>
      <c r="D28">
        <v>167</v>
      </c>
      <c r="E28">
        <v>0.9836526946107785</v>
      </c>
      <c r="F28">
        <v>0.02581116454617398</v>
      </c>
      <c r="G28">
        <v>0.003301918736130949</v>
      </c>
      <c r="H28">
        <v>0.06</v>
      </c>
      <c r="I28">
        <v>0.08657849046742094</v>
      </c>
      <c r="J28" t="s">
        <v>775</v>
      </c>
      <c r="K28" t="s">
        <v>775</v>
      </c>
      <c r="L28">
        <v>9.800000000000001</v>
      </c>
      <c r="M28">
        <v>4.24</v>
      </c>
      <c r="N28">
        <v>0.4326530612244898</v>
      </c>
      <c r="O28">
        <v>59</v>
      </c>
      <c r="P28">
        <v>0.05984764821935884</v>
      </c>
      <c r="Q28">
        <v>0.140960707029149</v>
      </c>
      <c r="R28" t="s">
        <v>779</v>
      </c>
      <c r="S28" t="s">
        <v>784</v>
      </c>
      <c r="T28">
        <v>427823.333432</v>
      </c>
      <c r="U28" s="2">
        <v>44489</v>
      </c>
      <c r="V28" t="s">
        <v>795</v>
      </c>
    </row>
    <row r="29" spans="1:22">
      <c r="A29" s="1" t="s">
        <v>49</v>
      </c>
      <c r="B29">
        <f>HYPERLINK("https://www.suredividend.com/sure-analysis-PH/","Parker-Hannifin Corp.")</f>
        <v>0</v>
      </c>
      <c r="C29">
        <v>326.79</v>
      </c>
      <c r="D29">
        <v>289</v>
      </c>
      <c r="E29">
        <v>1.13076124567474</v>
      </c>
      <c r="F29">
        <v>0.0126074849291594</v>
      </c>
      <c r="G29">
        <v>-0.02427863004485165</v>
      </c>
      <c r="H29">
        <v>0.1</v>
      </c>
      <c r="I29">
        <v>0.08576654293257358</v>
      </c>
      <c r="J29" t="s">
        <v>775</v>
      </c>
      <c r="K29" t="s">
        <v>776</v>
      </c>
      <c r="L29">
        <v>17.5</v>
      </c>
      <c r="M29">
        <v>4.12</v>
      </c>
      <c r="N29">
        <v>0.2354285714285714</v>
      </c>
      <c r="O29">
        <v>65</v>
      </c>
      <c r="P29">
        <v>0.10015574926841</v>
      </c>
      <c r="Q29">
        <v>0.316610011860955</v>
      </c>
      <c r="R29" t="s">
        <v>779</v>
      </c>
      <c r="S29" t="s">
        <v>786</v>
      </c>
      <c r="T29">
        <v>42354.67306</v>
      </c>
      <c r="U29" s="2">
        <v>44508</v>
      </c>
      <c r="V29" t="s">
        <v>802</v>
      </c>
    </row>
    <row r="30" spans="1:22">
      <c r="A30" s="1" t="s">
        <v>50</v>
      </c>
      <c r="B30">
        <f>HYPERLINK("https://www.suredividend.com/sure-analysis-LEG/","Leggett &amp; Platt, Inc.")</f>
        <v>0</v>
      </c>
      <c r="C30">
        <v>43.76</v>
      </c>
      <c r="D30">
        <v>44</v>
      </c>
      <c r="E30">
        <v>0.9945454545454545</v>
      </c>
      <c r="F30">
        <v>0.03839122486288848</v>
      </c>
      <c r="G30">
        <v>0.001094493682438635</v>
      </c>
      <c r="H30">
        <v>0.05</v>
      </c>
      <c r="I30">
        <v>0.08436749559433476</v>
      </c>
      <c r="J30" t="s">
        <v>775</v>
      </c>
      <c r="K30" t="s">
        <v>775</v>
      </c>
      <c r="L30">
        <v>2.75</v>
      </c>
      <c r="M30">
        <v>1.68</v>
      </c>
      <c r="N30">
        <v>0.6109090909090908</v>
      </c>
      <c r="O30">
        <v>48</v>
      </c>
      <c r="P30">
        <v>0.03959498820755258</v>
      </c>
      <c r="Q30">
        <v>0.07642733124784801</v>
      </c>
      <c r="R30" t="s">
        <v>779</v>
      </c>
      <c r="S30" t="s">
        <v>788</v>
      </c>
      <c r="T30">
        <v>5796.573025</v>
      </c>
      <c r="U30" s="2">
        <v>44506</v>
      </c>
      <c r="V30" t="s">
        <v>797</v>
      </c>
    </row>
    <row r="31" spans="1:22">
      <c r="A31" s="1" t="s">
        <v>51</v>
      </c>
      <c r="B31">
        <f>HYPERLINK("https://www.suredividend.com/sure-analysis-TNC/","Tennant Co.")</f>
        <v>0</v>
      </c>
      <c r="C31">
        <v>84.28</v>
      </c>
      <c r="D31">
        <v>82</v>
      </c>
      <c r="E31">
        <v>1.027804878048781</v>
      </c>
      <c r="F31">
        <v>0.01186521120075937</v>
      </c>
      <c r="G31">
        <v>-0.005470052813294712</v>
      </c>
      <c r="H31">
        <v>0.08</v>
      </c>
      <c r="I31">
        <v>0.08426114837843346</v>
      </c>
      <c r="J31" t="s">
        <v>775</v>
      </c>
      <c r="K31" t="s">
        <v>776</v>
      </c>
      <c r="L31">
        <v>4.3</v>
      </c>
      <c r="M31">
        <v>1</v>
      </c>
      <c r="N31">
        <v>0.2325581395348837</v>
      </c>
      <c r="O31">
        <v>49</v>
      </c>
      <c r="P31">
        <v>0.05061112176150684</v>
      </c>
      <c r="Q31">
        <v>0.252719237087551</v>
      </c>
      <c r="R31" t="s">
        <v>779</v>
      </c>
      <c r="S31" t="s">
        <v>786</v>
      </c>
      <c r="T31">
        <v>1552.037282</v>
      </c>
      <c r="U31" s="2">
        <v>44424</v>
      </c>
      <c r="V31" t="s">
        <v>797</v>
      </c>
    </row>
    <row r="32" spans="1:22">
      <c r="A32" s="1" t="s">
        <v>52</v>
      </c>
      <c r="B32">
        <f>HYPERLINK("https://www.suredividend.com/sure-analysis-BKH/","Black Hills Corporation")</f>
        <v>0</v>
      </c>
      <c r="C32">
        <v>66.43000000000001</v>
      </c>
      <c r="D32">
        <v>70</v>
      </c>
      <c r="E32">
        <v>0.9490000000000001</v>
      </c>
      <c r="F32">
        <v>0.03582718651211801</v>
      </c>
      <c r="G32">
        <v>0.01052429090609253</v>
      </c>
      <c r="H32">
        <v>0.04</v>
      </c>
      <c r="I32">
        <v>0.08302293163264962</v>
      </c>
      <c r="J32" t="s">
        <v>775</v>
      </c>
      <c r="K32" t="s">
        <v>775</v>
      </c>
      <c r="L32">
        <v>3.9</v>
      </c>
      <c r="M32">
        <v>2.38</v>
      </c>
      <c r="N32">
        <v>0.6102564102564102</v>
      </c>
      <c r="O32">
        <v>50</v>
      </c>
      <c r="P32">
        <v>0.05016931709648742</v>
      </c>
      <c r="Q32">
        <v>0.101632502761752</v>
      </c>
      <c r="R32" t="s">
        <v>779</v>
      </c>
      <c r="S32" t="s">
        <v>791</v>
      </c>
      <c r="T32">
        <v>4102.095047</v>
      </c>
      <c r="U32" s="2">
        <v>44418</v>
      </c>
      <c r="V32" t="s">
        <v>797</v>
      </c>
    </row>
    <row r="33" spans="1:22">
      <c r="A33" s="1" t="s">
        <v>53</v>
      </c>
      <c r="B33">
        <f>HYPERLINK("https://www.suredividend.com/sure-analysis-ANTM/","Anthem Inc")</f>
        <v>0</v>
      </c>
      <c r="C33">
        <v>424.94</v>
      </c>
      <c r="D33">
        <v>388</v>
      </c>
      <c r="E33">
        <v>1.09520618556701</v>
      </c>
      <c r="F33">
        <v>0.01063679578293406</v>
      </c>
      <c r="G33">
        <v>-0.01802411560604344</v>
      </c>
      <c r="H33">
        <v>0.09</v>
      </c>
      <c r="I33">
        <v>0.08071963530841675</v>
      </c>
      <c r="J33" t="s">
        <v>775</v>
      </c>
      <c r="K33" t="s">
        <v>370</v>
      </c>
      <c r="L33">
        <v>25.85</v>
      </c>
      <c r="M33">
        <v>4.52</v>
      </c>
      <c r="N33">
        <v>0.1748549323017408</v>
      </c>
      <c r="O33">
        <v>11</v>
      </c>
      <c r="P33">
        <v>0.0898563876885603</v>
      </c>
      <c r="Q33">
        <v>0.350475611563376</v>
      </c>
      <c r="R33" t="s">
        <v>779</v>
      </c>
      <c r="S33" t="s">
        <v>784</v>
      </c>
      <c r="T33">
        <v>104396.436441</v>
      </c>
      <c r="U33" s="2">
        <v>44490</v>
      </c>
      <c r="V33" t="s">
        <v>795</v>
      </c>
    </row>
    <row r="34" spans="1:22">
      <c r="A34" s="1" t="s">
        <v>54</v>
      </c>
      <c r="B34">
        <f>HYPERLINK("https://www.suredividend.com/sure-analysis-MMM/","3M Co.")</f>
        <v>0</v>
      </c>
      <c r="C34">
        <v>182.42</v>
      </c>
      <c r="D34">
        <v>186</v>
      </c>
      <c r="E34">
        <v>0.980752688172043</v>
      </c>
      <c r="F34">
        <v>0.03245258195373314</v>
      </c>
      <c r="G34">
        <v>0.003894554737581712</v>
      </c>
      <c r="H34">
        <v>0.05</v>
      </c>
      <c r="I34">
        <v>0.08063495676529575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0.145326980020414</v>
      </c>
      <c r="R34" t="s">
        <v>779</v>
      </c>
      <c r="S34" t="s">
        <v>786</v>
      </c>
      <c r="T34">
        <v>104924.474416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HYPERLINK("https://www.suredividend.com/sure-analysis-FMCB/","Farmers &amp; Merchants Bancorp")</f>
        <v>0</v>
      </c>
      <c r="C35">
        <v>933.9999</v>
      </c>
      <c r="D35">
        <v>1008</v>
      </c>
      <c r="E35">
        <v>0.9265872023809524</v>
      </c>
      <c r="F35">
        <v>0.0163811580707878</v>
      </c>
      <c r="G35">
        <v>0.0153662892416413</v>
      </c>
      <c r="H35">
        <v>0.05</v>
      </c>
      <c r="I35">
        <v>0.08045872036717827</v>
      </c>
      <c r="J35" t="s">
        <v>775</v>
      </c>
      <c r="K35" t="s">
        <v>776</v>
      </c>
      <c r="L35">
        <v>84</v>
      </c>
      <c r="M35">
        <v>15.3</v>
      </c>
      <c r="N35">
        <v>0.1821428571428572</v>
      </c>
      <c r="O35">
        <v>56</v>
      </c>
      <c r="P35">
        <v>0.0500311005456211</v>
      </c>
      <c r="Q35">
        <v>0.320130147306171</v>
      </c>
      <c r="R35" t="s">
        <v>779</v>
      </c>
      <c r="S35" t="s">
        <v>790</v>
      </c>
      <c r="T35">
        <v>740.620904</v>
      </c>
      <c r="U35" s="2">
        <v>44498</v>
      </c>
      <c r="V35" t="s">
        <v>802</v>
      </c>
    </row>
    <row r="36" spans="1:22">
      <c r="A36" s="1" t="s">
        <v>56</v>
      </c>
      <c r="B36">
        <f>HYPERLINK("https://www.suredividend.com/sure-analysis-SKM/","SK Telecom Co Ltd")</f>
        <v>0</v>
      </c>
      <c r="C36">
        <v>29.44</v>
      </c>
      <c r="D36">
        <v>30</v>
      </c>
      <c r="E36">
        <v>0.9813333333333334</v>
      </c>
      <c r="F36">
        <v>0.03396739130434782</v>
      </c>
      <c r="G36">
        <v>0.003775727728483114</v>
      </c>
      <c r="H36">
        <v>0.05</v>
      </c>
      <c r="I36">
        <v>0.08015688874815163</v>
      </c>
      <c r="J36" t="s">
        <v>775</v>
      </c>
      <c r="K36" t="s">
        <v>775</v>
      </c>
      <c r="L36">
        <v>9</v>
      </c>
      <c r="M36">
        <v>1</v>
      </c>
      <c r="N36">
        <v>0.1111111111111111</v>
      </c>
      <c r="O36">
        <v>0</v>
      </c>
      <c r="P36">
        <v>0</v>
      </c>
      <c r="Q36">
        <v>0.358512824766592</v>
      </c>
      <c r="R36" t="s">
        <v>779</v>
      </c>
      <c r="S36" t="s">
        <v>783</v>
      </c>
      <c r="T36">
        <v>19118.997141</v>
      </c>
      <c r="U36" s="2">
        <v>44439</v>
      </c>
      <c r="V36" t="s">
        <v>801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223.46</v>
      </c>
      <c r="D37">
        <v>206</v>
      </c>
      <c r="E37">
        <v>1.084757281553398</v>
      </c>
      <c r="F37">
        <v>0.01825830126197082</v>
      </c>
      <c r="G37">
        <v>-0.01613958991823539</v>
      </c>
      <c r="H37">
        <v>0.08</v>
      </c>
      <c r="I37">
        <v>0.08012030101130518</v>
      </c>
      <c r="J37" t="s">
        <v>775</v>
      </c>
      <c r="K37" t="s">
        <v>776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0.232040509527041</v>
      </c>
      <c r="R37" t="s">
        <v>779</v>
      </c>
      <c r="S37" t="s">
        <v>786</v>
      </c>
      <c r="T37">
        <v>44095.787394</v>
      </c>
      <c r="U37" s="2">
        <v>44509</v>
      </c>
      <c r="V37" t="s">
        <v>800</v>
      </c>
    </row>
    <row r="38" spans="1:22">
      <c r="A38" s="1" t="s">
        <v>58</v>
      </c>
      <c r="B38">
        <f>HYPERLINK("https://www.suredividend.com/sure-analysis-AFL/","Aflac Inc.")</f>
        <v>0</v>
      </c>
      <c r="C38">
        <v>56.02</v>
      </c>
      <c r="D38">
        <v>61</v>
      </c>
      <c r="E38">
        <v>0.918360655737705</v>
      </c>
      <c r="F38">
        <v>0.02356301320956801</v>
      </c>
      <c r="G38">
        <v>0.01717890786712495</v>
      </c>
      <c r="H38">
        <v>0.04</v>
      </c>
      <c r="I38">
        <v>0.07829163877414347</v>
      </c>
      <c r="J38" t="s">
        <v>775</v>
      </c>
      <c r="K38" t="s">
        <v>775</v>
      </c>
      <c r="L38">
        <v>6.1</v>
      </c>
      <c r="M38">
        <v>1.32</v>
      </c>
      <c r="N38">
        <v>0.2163934426229508</v>
      </c>
      <c r="O38">
        <v>39</v>
      </c>
      <c r="P38">
        <v>0.04051989624422681</v>
      </c>
      <c r="Q38">
        <v>0.381270385886892</v>
      </c>
      <c r="R38" t="s">
        <v>779</v>
      </c>
      <c r="S38" t="s">
        <v>790</v>
      </c>
      <c r="T38">
        <v>37230.808165</v>
      </c>
      <c r="U38" s="2">
        <v>44497</v>
      </c>
      <c r="V38" t="s">
        <v>799</v>
      </c>
    </row>
    <row r="39" spans="1:22">
      <c r="A39" s="1" t="s">
        <v>59</v>
      </c>
      <c r="B39">
        <f>HYPERLINK("https://www.suredividend.com/sure-analysis-TMO/","Thermo Fisher Scientific Inc.")</f>
        <v>0</v>
      </c>
      <c r="C39">
        <v>626.86</v>
      </c>
      <c r="D39">
        <v>561</v>
      </c>
      <c r="E39">
        <v>1.117397504456328</v>
      </c>
      <c r="F39">
        <v>0.001659062629614268</v>
      </c>
      <c r="G39">
        <v>-0.02195584816266227</v>
      </c>
      <c r="H39">
        <v>0.1</v>
      </c>
      <c r="I39">
        <v>0.0777610987776951</v>
      </c>
      <c r="J39" t="s">
        <v>775</v>
      </c>
      <c r="K39" t="s">
        <v>514</v>
      </c>
      <c r="L39">
        <v>23.37</v>
      </c>
      <c r="M39">
        <v>1.04</v>
      </c>
      <c r="N39">
        <v>0.04450149764655541</v>
      </c>
      <c r="O39">
        <v>4</v>
      </c>
      <c r="P39">
        <v>0.1498007546802556</v>
      </c>
      <c r="Q39">
        <v>0.278089803484756</v>
      </c>
      <c r="R39" t="s">
        <v>779</v>
      </c>
      <c r="S39" t="s">
        <v>784</v>
      </c>
      <c r="T39">
        <v>243750.265656</v>
      </c>
      <c r="U39" s="2">
        <v>44499</v>
      </c>
      <c r="V39" t="s">
        <v>794</v>
      </c>
    </row>
    <row r="40" spans="1:22">
      <c r="A40" s="1" t="s">
        <v>60</v>
      </c>
      <c r="B40">
        <f>HYPERLINK("https://www.suredividend.com/sure-analysis-LOW/","Lowe`s Cos., Inc.")</f>
        <v>0</v>
      </c>
      <c r="C40">
        <v>232.55</v>
      </c>
      <c r="D40">
        <v>226.94</v>
      </c>
      <c r="E40">
        <v>1.024720190358685</v>
      </c>
      <c r="F40">
        <v>0.01376048161685659</v>
      </c>
      <c r="G40">
        <v>-0.004872011125689912</v>
      </c>
      <c r="H40">
        <v>0.07000000000000001</v>
      </c>
      <c r="I40">
        <v>0.07764984962816301</v>
      </c>
      <c r="J40" t="s">
        <v>775</v>
      </c>
      <c r="K40" t="s">
        <v>776</v>
      </c>
      <c r="L40">
        <v>11.33</v>
      </c>
      <c r="M40">
        <v>3.2</v>
      </c>
      <c r="N40">
        <v>0.2824360105913504</v>
      </c>
      <c r="O40">
        <v>59</v>
      </c>
      <c r="P40">
        <v>0.07008745458377241</v>
      </c>
      <c r="Q40">
        <v>0.5407619166812121</v>
      </c>
      <c r="R40" t="s">
        <v>779</v>
      </c>
      <c r="S40" t="s">
        <v>788</v>
      </c>
      <c r="T40">
        <v>161966.930518</v>
      </c>
      <c r="U40" s="2">
        <v>44434</v>
      </c>
      <c r="V40" t="s">
        <v>801</v>
      </c>
    </row>
    <row r="41" spans="1:22">
      <c r="A41" s="1" t="s">
        <v>61</v>
      </c>
      <c r="B41">
        <f>HYPERLINK("https://www.suredividend.com/sure-analysis-CINF/","Cincinnati Financial Corp.")</f>
        <v>0</v>
      </c>
      <c r="C41">
        <v>123.55</v>
      </c>
      <c r="D41">
        <v>112.03</v>
      </c>
      <c r="E41">
        <v>1.102829599214496</v>
      </c>
      <c r="F41">
        <v>0.02039660056657224</v>
      </c>
      <c r="G41">
        <v>-0.01938548525514017</v>
      </c>
      <c r="H41">
        <v>0.08</v>
      </c>
      <c r="I41">
        <v>0.07725511243417027</v>
      </c>
      <c r="J41" t="s">
        <v>775</v>
      </c>
      <c r="K41" t="s">
        <v>776</v>
      </c>
      <c r="L41">
        <v>5.58</v>
      </c>
      <c r="M41">
        <v>2.52</v>
      </c>
      <c r="N41">
        <v>0.4516129032258064</v>
      </c>
      <c r="O41">
        <v>60</v>
      </c>
      <c r="P41">
        <v>0.05024607263868264</v>
      </c>
      <c r="Q41">
        <v>0.483350537141109</v>
      </c>
      <c r="R41" t="s">
        <v>779</v>
      </c>
      <c r="S41" t="s">
        <v>790</v>
      </c>
      <c r="T41">
        <v>20007.266312</v>
      </c>
      <c r="U41" s="2">
        <v>44499</v>
      </c>
      <c r="V41" t="s">
        <v>796</v>
      </c>
    </row>
    <row r="42" spans="1:22">
      <c r="A42" s="1" t="s">
        <v>62</v>
      </c>
      <c r="B42">
        <f>HYPERLINK("https://www.suredividend.com/sure-analysis-WHR/","Whirlpool Corp.")</f>
        <v>0</v>
      </c>
      <c r="C42">
        <v>221.11</v>
      </c>
      <c r="D42">
        <v>289</v>
      </c>
      <c r="E42">
        <v>0.7650865051903115</v>
      </c>
      <c r="F42">
        <v>0.02532676043598209</v>
      </c>
      <c r="G42">
        <v>0.05501319564867724</v>
      </c>
      <c r="H42">
        <v>0</v>
      </c>
      <c r="I42">
        <v>0.07709377936806816</v>
      </c>
      <c r="J42" t="s">
        <v>775</v>
      </c>
      <c r="K42" t="s">
        <v>776</v>
      </c>
      <c r="L42">
        <v>26.25</v>
      </c>
      <c r="M42">
        <v>5.6</v>
      </c>
      <c r="N42">
        <v>0.2133333333333333</v>
      </c>
      <c r="O42">
        <v>11</v>
      </c>
      <c r="P42">
        <v>0.03990057173719119</v>
      </c>
      <c r="Q42">
        <v>0.254503779798437</v>
      </c>
      <c r="R42" t="s">
        <v>779</v>
      </c>
      <c r="S42" t="s">
        <v>788</v>
      </c>
      <c r="T42">
        <v>13861.234605</v>
      </c>
      <c r="U42" s="2">
        <v>44494</v>
      </c>
      <c r="V42" t="s">
        <v>799</v>
      </c>
    </row>
    <row r="43" spans="1:22">
      <c r="A43" s="1" t="s">
        <v>63</v>
      </c>
      <c r="B43">
        <f>HYPERLINK("https://www.suredividend.com/sure-analysis-V/","Visa Inc")</f>
        <v>0</v>
      </c>
      <c r="C43">
        <v>215.56</v>
      </c>
      <c r="D43">
        <v>178</v>
      </c>
      <c r="E43">
        <v>1.211011235955056</v>
      </c>
      <c r="F43">
        <v>0.006958619409909074</v>
      </c>
      <c r="G43">
        <v>-0.03756731079066056</v>
      </c>
      <c r="H43">
        <v>0.11</v>
      </c>
      <c r="I43">
        <v>0.07527827432905565</v>
      </c>
      <c r="J43" t="s">
        <v>775</v>
      </c>
      <c r="K43" t="s">
        <v>370</v>
      </c>
      <c r="L43">
        <v>7.1</v>
      </c>
      <c r="M43">
        <v>1.5</v>
      </c>
      <c r="N43">
        <v>0.2112676056338028</v>
      </c>
      <c r="O43">
        <v>14</v>
      </c>
      <c r="P43">
        <v>0.09487401536266371</v>
      </c>
      <c r="Q43">
        <v>0.009245863151387</v>
      </c>
      <c r="R43" t="s">
        <v>779</v>
      </c>
      <c r="S43" t="s">
        <v>790</v>
      </c>
      <c r="T43">
        <v>470311.56</v>
      </c>
      <c r="U43" s="2">
        <v>44497</v>
      </c>
      <c r="V43" t="s">
        <v>799</v>
      </c>
    </row>
    <row r="44" spans="1:22">
      <c r="A44" s="1" t="s">
        <v>64</v>
      </c>
      <c r="B44">
        <f>HYPERLINK("https://www.suredividend.com/sure-analysis-ROP/","Roper Technologies Inc")</f>
        <v>0</v>
      </c>
      <c r="C44">
        <v>485.91</v>
      </c>
      <c r="D44">
        <v>423</v>
      </c>
      <c r="E44">
        <v>1.148723404255319</v>
      </c>
      <c r="F44">
        <v>0.004630487127245786</v>
      </c>
      <c r="G44">
        <v>-0.0273492946006183</v>
      </c>
      <c r="H44">
        <v>0.1</v>
      </c>
      <c r="I44">
        <v>0.07461739956131286</v>
      </c>
      <c r="J44" t="s">
        <v>775</v>
      </c>
      <c r="K44" t="s">
        <v>370</v>
      </c>
      <c r="L44">
        <v>14.1</v>
      </c>
      <c r="M44">
        <v>2.25</v>
      </c>
      <c r="N44">
        <v>0.1595744680851064</v>
      </c>
      <c r="O44">
        <v>28</v>
      </c>
      <c r="P44">
        <v>0.09977846264348122</v>
      </c>
      <c r="Q44">
        <v>0.260652809910053</v>
      </c>
      <c r="R44" t="s">
        <v>779</v>
      </c>
      <c r="S44" t="s">
        <v>786</v>
      </c>
      <c r="T44">
        <v>51592.320777</v>
      </c>
      <c r="U44" s="2">
        <v>44494</v>
      </c>
      <c r="V44" t="s">
        <v>794</v>
      </c>
    </row>
    <row r="45" spans="1:22">
      <c r="A45" s="1" t="s">
        <v>65</v>
      </c>
      <c r="B45">
        <f>HYPERLINK("https://www.suredividend.com/sure-analysis-NWN/","Northwest Natural Holding Co")</f>
        <v>0</v>
      </c>
      <c r="C45">
        <v>45.72</v>
      </c>
      <c r="D45">
        <v>50.8</v>
      </c>
      <c r="E45">
        <v>0.9</v>
      </c>
      <c r="F45">
        <v>0.04199475065616798</v>
      </c>
      <c r="G45">
        <v>0.02129568760013512</v>
      </c>
      <c r="H45">
        <v>0.016</v>
      </c>
      <c r="I45">
        <v>0.07390986278056477</v>
      </c>
      <c r="J45" t="s">
        <v>775</v>
      </c>
      <c r="K45" t="s">
        <v>775</v>
      </c>
      <c r="L45">
        <v>2.54</v>
      </c>
      <c r="M45">
        <v>1.92</v>
      </c>
      <c r="N45">
        <v>0.7559055118110236</v>
      </c>
      <c r="O45">
        <v>65</v>
      </c>
      <c r="P45">
        <v>0.02383625553960966</v>
      </c>
      <c r="Q45">
        <v>0.000170420717847</v>
      </c>
      <c r="R45" t="s">
        <v>779</v>
      </c>
      <c r="S45" t="s">
        <v>791</v>
      </c>
      <c r="T45">
        <v>1386.100307</v>
      </c>
      <c r="U45" s="2">
        <v>44421</v>
      </c>
      <c r="V45" t="s">
        <v>803</v>
      </c>
    </row>
    <row r="46" spans="1:22">
      <c r="A46" s="1" t="s">
        <v>66</v>
      </c>
      <c r="B46">
        <f>HYPERLINK("https://www.suredividend.com/sure-analysis-RNR/","RenaissanceRe Holdings Ltd")</f>
        <v>0</v>
      </c>
      <c r="C46">
        <v>154.85</v>
      </c>
      <c r="D46">
        <v>167</v>
      </c>
      <c r="E46">
        <v>0.9272455089820359</v>
      </c>
      <c r="F46">
        <v>0.009299321924443009</v>
      </c>
      <c r="G46">
        <v>0.01522207452693713</v>
      </c>
      <c r="H46">
        <v>0.05</v>
      </c>
      <c r="I46">
        <v>0.07366341279662914</v>
      </c>
      <c r="J46" t="s">
        <v>775</v>
      </c>
      <c r="K46" t="s">
        <v>370</v>
      </c>
      <c r="L46">
        <v>11</v>
      </c>
      <c r="M46">
        <v>1.44</v>
      </c>
      <c r="N46">
        <v>0.1309090909090909</v>
      </c>
      <c r="O46">
        <v>26</v>
      </c>
      <c r="P46">
        <v>0.02635185407071083</v>
      </c>
      <c r="Q46">
        <v>-0.07597961681411401</v>
      </c>
      <c r="R46" t="s">
        <v>779</v>
      </c>
      <c r="S46" t="s">
        <v>790</v>
      </c>
      <c r="T46">
        <v>7178.181194</v>
      </c>
      <c r="U46" s="2">
        <v>44495</v>
      </c>
      <c r="V46" t="s">
        <v>794</v>
      </c>
    </row>
    <row r="47" spans="1:22">
      <c r="A47" s="1" t="s">
        <v>67</v>
      </c>
      <c r="B47">
        <f>HYPERLINK("https://www.suredividend.com/sure-analysis-NFG/","National Fuel Gas Co.")</f>
        <v>0</v>
      </c>
      <c r="C47">
        <v>58.91</v>
      </c>
      <c r="D47">
        <v>61</v>
      </c>
      <c r="E47">
        <v>0.9657377049180327</v>
      </c>
      <c r="F47">
        <v>0.03055508402648107</v>
      </c>
      <c r="G47">
        <v>0.006996966912026226</v>
      </c>
      <c r="H47">
        <v>0.04</v>
      </c>
      <c r="I47">
        <v>0.07304681241283517</v>
      </c>
      <c r="J47" t="s">
        <v>775</v>
      </c>
      <c r="K47" t="s">
        <v>775</v>
      </c>
      <c r="L47">
        <v>4.05</v>
      </c>
      <c r="M47">
        <v>1.8</v>
      </c>
      <c r="N47">
        <v>0.4444444444444445</v>
      </c>
      <c r="O47">
        <v>51</v>
      </c>
      <c r="P47">
        <v>0.02129568760013512</v>
      </c>
      <c r="Q47">
        <v>0.5785788264362031</v>
      </c>
      <c r="R47" t="s">
        <v>779</v>
      </c>
      <c r="S47" t="s">
        <v>791</v>
      </c>
      <c r="T47">
        <v>5406.130621</v>
      </c>
      <c r="U47" s="2">
        <v>44427</v>
      </c>
      <c r="V47" t="s">
        <v>802</v>
      </c>
    </row>
    <row r="48" spans="1:22">
      <c r="A48" s="1" t="s">
        <v>68</v>
      </c>
      <c r="B48">
        <f>HYPERLINK("https://www.suredividend.com/sure-analysis-CTBI/","Community Trust Bancorp, Inc.")</f>
        <v>0</v>
      </c>
      <c r="C48">
        <v>45.52</v>
      </c>
      <c r="D48">
        <v>48</v>
      </c>
      <c r="E48">
        <v>0.9483333333333334</v>
      </c>
      <c r="F48">
        <v>0.0351493848857645</v>
      </c>
      <c r="G48">
        <v>0.01066632820046776</v>
      </c>
      <c r="H48">
        <v>0.03</v>
      </c>
      <c r="I48">
        <v>0.07207996110559356</v>
      </c>
      <c r="J48" t="s">
        <v>775</v>
      </c>
      <c r="K48" t="s">
        <v>775</v>
      </c>
      <c r="L48">
        <v>4</v>
      </c>
      <c r="M48">
        <v>1.6</v>
      </c>
      <c r="N48">
        <v>0.4</v>
      </c>
      <c r="O48">
        <v>41</v>
      </c>
      <c r="P48">
        <v>0.03277941543624596</v>
      </c>
      <c r="Q48">
        <v>0.391354470393093</v>
      </c>
      <c r="R48" t="s">
        <v>779</v>
      </c>
      <c r="S48" t="s">
        <v>790</v>
      </c>
      <c r="T48">
        <v>809.719016</v>
      </c>
      <c r="U48" s="2">
        <v>44490</v>
      </c>
      <c r="V48" t="s">
        <v>802</v>
      </c>
    </row>
    <row r="49" spans="1:22">
      <c r="A49" s="1" t="s">
        <v>69</v>
      </c>
      <c r="B49">
        <f>HYPERLINK("https://www.suredividend.com/sure-analysis-BRC/","Brady Corp.")</f>
        <v>0</v>
      </c>
      <c r="C49">
        <v>54.82</v>
      </c>
      <c r="D49">
        <v>57</v>
      </c>
      <c r="E49">
        <v>0.9617543859649123</v>
      </c>
      <c r="F49">
        <v>0.01641736592484495</v>
      </c>
      <c r="G49">
        <v>0.007829728651484569</v>
      </c>
      <c r="H49">
        <v>0.05</v>
      </c>
      <c r="I49">
        <v>0.07173870814441807</v>
      </c>
      <c r="J49" t="s">
        <v>775</v>
      </c>
      <c r="K49" t="s">
        <v>776</v>
      </c>
      <c r="L49">
        <v>3</v>
      </c>
      <c r="M49">
        <v>0.9</v>
      </c>
      <c r="N49">
        <v>0.3</v>
      </c>
      <c r="O49">
        <v>36</v>
      </c>
      <c r="P49">
        <v>0.01924487649145656</v>
      </c>
      <c r="Q49">
        <v>0.321452806798372</v>
      </c>
      <c r="R49" t="s">
        <v>779</v>
      </c>
      <c r="S49" t="s">
        <v>786</v>
      </c>
      <c r="T49">
        <v>2674.391582</v>
      </c>
      <c r="U49" s="2">
        <v>44461</v>
      </c>
      <c r="V49" t="s">
        <v>795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64.39</v>
      </c>
      <c r="D50">
        <v>64</v>
      </c>
      <c r="E50">
        <v>1.00609375</v>
      </c>
      <c r="F50">
        <v>0.01149246777449915</v>
      </c>
      <c r="G50">
        <v>-0.001214313761725316</v>
      </c>
      <c r="H50">
        <v>0.06</v>
      </c>
      <c r="I50">
        <v>0.07007593963506187</v>
      </c>
      <c r="J50" t="s">
        <v>775</v>
      </c>
      <c r="K50" t="s">
        <v>370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0.165569205331631</v>
      </c>
      <c r="R50" t="s">
        <v>779</v>
      </c>
      <c r="S50" t="s">
        <v>790</v>
      </c>
      <c r="T50">
        <v>8965.401674999999</v>
      </c>
      <c r="U50" s="2">
        <v>44493</v>
      </c>
      <c r="V50" t="s">
        <v>798</v>
      </c>
    </row>
    <row r="51" spans="1:22">
      <c r="A51" s="1" t="s">
        <v>71</v>
      </c>
      <c r="B51">
        <f>HYPERLINK("https://www.suredividend.com/sure-analysis-CP/","Canadian Pacific Railway Ltd")</f>
        <v>0</v>
      </c>
      <c r="C51">
        <v>77.51000000000001</v>
      </c>
      <c r="D51">
        <v>64</v>
      </c>
      <c r="E51">
        <v>1.21109375</v>
      </c>
      <c r="F51">
        <v>0.00786995226422397</v>
      </c>
      <c r="G51">
        <v>-0.03758042560997421</v>
      </c>
      <c r="H51">
        <v>0.1</v>
      </c>
      <c r="I51">
        <v>0.06821926802835576</v>
      </c>
      <c r="J51" t="s">
        <v>775</v>
      </c>
      <c r="K51" t="s">
        <v>514</v>
      </c>
      <c r="L51">
        <v>3.06</v>
      </c>
      <c r="M51">
        <v>0.61</v>
      </c>
      <c r="N51">
        <v>0.1993464052287582</v>
      </c>
      <c r="O51">
        <v>5</v>
      </c>
      <c r="P51">
        <v>0.1505753231079818</v>
      </c>
      <c r="Q51">
        <v>0.20730302856514</v>
      </c>
      <c r="R51" t="s">
        <v>779</v>
      </c>
      <c r="S51" t="s">
        <v>786</v>
      </c>
      <c r="T51">
        <v>51943.738934</v>
      </c>
      <c r="U51" s="2">
        <v>44491</v>
      </c>
      <c r="V51" t="s">
        <v>804</v>
      </c>
    </row>
    <row r="52" spans="1:22">
      <c r="A52" s="1" t="s">
        <v>72</v>
      </c>
      <c r="B52">
        <f>HYPERLINK("https://www.suredividend.com/sure-analysis-EBTC/","Enterprise Bancorp, Inc.")</f>
        <v>0</v>
      </c>
      <c r="C52">
        <v>40.86</v>
      </c>
      <c r="D52">
        <v>41</v>
      </c>
      <c r="E52">
        <v>0.9965853658536585</v>
      </c>
      <c r="F52">
        <v>0.01811062163485071</v>
      </c>
      <c r="G52">
        <v>0.0006843295096345958</v>
      </c>
      <c r="H52">
        <v>0.05</v>
      </c>
      <c r="I52">
        <v>0.06800604698354085</v>
      </c>
      <c r="J52" t="s">
        <v>775</v>
      </c>
      <c r="K52" t="s">
        <v>776</v>
      </c>
      <c r="L52">
        <v>3.4</v>
      </c>
      <c r="M52">
        <v>0.74</v>
      </c>
      <c r="N52">
        <v>0.2176470588235294</v>
      </c>
      <c r="O52">
        <v>27</v>
      </c>
      <c r="P52">
        <v>0.06207125806326297</v>
      </c>
      <c r="Q52">
        <v>0.7059482780413401</v>
      </c>
      <c r="R52" t="s">
        <v>779</v>
      </c>
      <c r="S52" t="s">
        <v>790</v>
      </c>
      <c r="T52">
        <v>486.980721</v>
      </c>
      <c r="U52" s="2">
        <v>44494</v>
      </c>
      <c r="V52" t="s">
        <v>802</v>
      </c>
    </row>
    <row r="53" spans="1:22">
      <c r="A53" s="1" t="s">
        <v>73</v>
      </c>
      <c r="B53">
        <f>HYPERLINK("https://www.suredividend.com/sure-analysis-CPKF/","Chesapeake Financial Shares Inc")</f>
        <v>0</v>
      </c>
      <c r="C53">
        <v>29.65</v>
      </c>
      <c r="D53">
        <v>38</v>
      </c>
      <c r="E53">
        <v>0.7802631578947368</v>
      </c>
      <c r="F53">
        <v>0.01888701517706577</v>
      </c>
      <c r="G53">
        <v>0.05087674065314363</v>
      </c>
      <c r="H53">
        <v>0</v>
      </c>
      <c r="I53">
        <v>0.06775220661985237</v>
      </c>
      <c r="J53" t="s">
        <v>775</v>
      </c>
      <c r="K53" t="s">
        <v>776</v>
      </c>
      <c r="L53">
        <v>3.6</v>
      </c>
      <c r="M53">
        <v>0.5600000000000001</v>
      </c>
      <c r="N53">
        <v>0.1555555555555556</v>
      </c>
      <c r="O53">
        <v>29</v>
      </c>
      <c r="P53">
        <v>0.03959498820755258</v>
      </c>
      <c r="Q53">
        <v>0.492289418585923</v>
      </c>
      <c r="R53" t="s">
        <v>779</v>
      </c>
      <c r="S53" t="s">
        <v>790</v>
      </c>
      <c r="T53">
        <v>142.531227</v>
      </c>
      <c r="U53" s="2">
        <v>44507</v>
      </c>
      <c r="V53" t="s">
        <v>798</v>
      </c>
    </row>
    <row r="54" spans="1:22">
      <c r="A54" s="1" t="s">
        <v>74</v>
      </c>
      <c r="B54">
        <f>HYPERLINK("https://www.suredividend.com/sure-analysis-WMT/","Walmart Inc")</f>
        <v>0</v>
      </c>
      <c r="C54">
        <v>148.44</v>
      </c>
      <c r="D54">
        <v>151</v>
      </c>
      <c r="E54">
        <v>0.983046357615894</v>
      </c>
      <c r="F54">
        <v>0.01482080301805443</v>
      </c>
      <c r="G54">
        <v>0.003425654312433135</v>
      </c>
      <c r="H54">
        <v>0.05</v>
      </c>
      <c r="I54">
        <v>0.06720406126834</v>
      </c>
      <c r="J54" t="s">
        <v>775</v>
      </c>
      <c r="K54" t="s">
        <v>776</v>
      </c>
      <c r="L54">
        <v>6.3</v>
      </c>
      <c r="M54">
        <v>2.2</v>
      </c>
      <c r="N54">
        <v>0.3492063492063492</v>
      </c>
      <c r="O54">
        <v>48</v>
      </c>
      <c r="P54">
        <v>0.05016303610438722</v>
      </c>
      <c r="Q54">
        <v>0.059745177236172</v>
      </c>
      <c r="R54" t="s">
        <v>779</v>
      </c>
      <c r="S54" t="s">
        <v>789</v>
      </c>
      <c r="T54">
        <v>417689.087859</v>
      </c>
      <c r="U54" s="2">
        <v>44428</v>
      </c>
      <c r="V54" t="s">
        <v>798</v>
      </c>
    </row>
    <row r="55" spans="1:22">
      <c r="A55" s="1" t="s">
        <v>75</v>
      </c>
      <c r="B55">
        <f>HYPERLINK("https://www.suredividend.com/sure-analysis-LANC/","Lancaster Colony Corp.")</f>
        <v>0</v>
      </c>
      <c r="C55">
        <v>162.15</v>
      </c>
      <c r="D55">
        <v>170</v>
      </c>
      <c r="E55">
        <v>0.9538235294117647</v>
      </c>
      <c r="F55">
        <v>0.01850138760407031</v>
      </c>
      <c r="G55">
        <v>0.009500163628487046</v>
      </c>
      <c r="H55">
        <v>0.04</v>
      </c>
      <c r="I55">
        <v>0.06698722744580632</v>
      </c>
      <c r="J55" t="s">
        <v>775</v>
      </c>
      <c r="K55" t="s">
        <v>776</v>
      </c>
      <c r="L55">
        <v>6.3</v>
      </c>
      <c r="M55">
        <v>3</v>
      </c>
      <c r="N55">
        <v>0.4761904761904762</v>
      </c>
      <c r="O55">
        <v>58</v>
      </c>
      <c r="P55">
        <v>0.05006335758366887</v>
      </c>
      <c r="Q55">
        <v>-0.025445622067957</v>
      </c>
      <c r="R55" t="s">
        <v>779</v>
      </c>
      <c r="S55" t="s">
        <v>789</v>
      </c>
      <c r="T55">
        <v>4434.5324</v>
      </c>
      <c r="U55" s="2">
        <v>44444</v>
      </c>
      <c r="V55" t="s">
        <v>798</v>
      </c>
    </row>
    <row r="56" spans="1:22">
      <c r="A56" s="1" t="s">
        <v>76</v>
      </c>
      <c r="B56">
        <f>HYPERLINK("https://www.suredividend.com/sure-analysis-AIZ/","Assurant Inc")</f>
        <v>0</v>
      </c>
      <c r="C56">
        <v>159.67</v>
      </c>
      <c r="D56">
        <v>138</v>
      </c>
      <c r="E56">
        <v>1.157028985507246</v>
      </c>
      <c r="F56">
        <v>0.01653410158451807</v>
      </c>
      <c r="G56">
        <v>-0.02874973070982911</v>
      </c>
      <c r="H56">
        <v>0.08</v>
      </c>
      <c r="I56">
        <v>0.06496751245606869</v>
      </c>
      <c r="J56" t="s">
        <v>775</v>
      </c>
      <c r="K56" t="s">
        <v>776</v>
      </c>
      <c r="L56">
        <v>10</v>
      </c>
      <c r="M56">
        <v>2.64</v>
      </c>
      <c r="N56">
        <v>0.264</v>
      </c>
      <c r="O56">
        <v>16</v>
      </c>
      <c r="P56">
        <v>0.06399531281508364</v>
      </c>
      <c r="Q56">
        <v>0.23369922131532</v>
      </c>
      <c r="R56" t="s">
        <v>779</v>
      </c>
      <c r="S56" t="s">
        <v>790</v>
      </c>
      <c r="T56">
        <v>9140.773424999999</v>
      </c>
      <c r="U56" s="2">
        <v>44432</v>
      </c>
      <c r="V56" t="s">
        <v>802</v>
      </c>
    </row>
    <row r="57" spans="1:22">
      <c r="A57" s="1" t="s">
        <v>77</v>
      </c>
      <c r="B57">
        <f>HYPERLINK("https://www.suredividend.com/sure-analysis-MATW/","Matthews International Corp.")</f>
        <v>0</v>
      </c>
      <c r="C57">
        <v>39.29</v>
      </c>
      <c r="D57">
        <v>42</v>
      </c>
      <c r="E57">
        <v>0.9354761904761905</v>
      </c>
      <c r="F57">
        <v>0.02188852125222703</v>
      </c>
      <c r="G57">
        <v>0.01342929060484832</v>
      </c>
      <c r="H57">
        <v>0.03</v>
      </c>
      <c r="I57">
        <v>0.06442643910730261</v>
      </c>
      <c r="J57" t="s">
        <v>775</v>
      </c>
      <c r="K57" t="s">
        <v>776</v>
      </c>
      <c r="L57">
        <v>3.25</v>
      </c>
      <c r="M57">
        <v>0.86</v>
      </c>
      <c r="N57">
        <v>0.2646153846153846</v>
      </c>
      <c r="O57">
        <v>27</v>
      </c>
      <c r="P57">
        <v>0.05045837224621441</v>
      </c>
      <c r="Q57">
        <v>0.6691374058520201</v>
      </c>
      <c r="R57" t="s">
        <v>779</v>
      </c>
      <c r="S57" t="s">
        <v>786</v>
      </c>
      <c r="T57">
        <v>1235.107056</v>
      </c>
      <c r="U57" s="2">
        <v>44417</v>
      </c>
      <c r="V57" t="s">
        <v>801</v>
      </c>
    </row>
    <row r="58" spans="1:22">
      <c r="A58" s="1" t="s">
        <v>78</v>
      </c>
      <c r="B58">
        <f>HYPERLINK("https://www.suredividend.com/sure-analysis-CL/","Colgate-Palmolive Co.")</f>
        <v>0</v>
      </c>
      <c r="C58">
        <v>78.48</v>
      </c>
      <c r="D58">
        <v>75</v>
      </c>
      <c r="E58">
        <v>1.0464</v>
      </c>
      <c r="F58">
        <v>0.02293577981651376</v>
      </c>
      <c r="G58">
        <v>-0.009030121672995439</v>
      </c>
      <c r="H58">
        <v>0.05</v>
      </c>
      <c r="I58">
        <v>0.06230767292821526</v>
      </c>
      <c r="J58" t="s">
        <v>775</v>
      </c>
      <c r="K58" t="s">
        <v>776</v>
      </c>
      <c r="L58">
        <v>3.25</v>
      </c>
      <c r="M58">
        <v>1.8</v>
      </c>
      <c r="N58">
        <v>0.5538461538461539</v>
      </c>
      <c r="O58">
        <v>58</v>
      </c>
      <c r="P58">
        <v>0.05024607263868264</v>
      </c>
      <c r="Q58">
        <v>-0.023805146254125</v>
      </c>
      <c r="R58" t="s">
        <v>779</v>
      </c>
      <c r="S58" t="s">
        <v>789</v>
      </c>
      <c r="T58">
        <v>65784.340333</v>
      </c>
      <c r="U58" s="2">
        <v>44415</v>
      </c>
      <c r="V58" t="s">
        <v>798</v>
      </c>
    </row>
    <row r="59" spans="1:22">
      <c r="A59" s="1" t="s">
        <v>79</v>
      </c>
      <c r="B59">
        <f>HYPERLINK("https://www.suredividend.com/sure-analysis-DG/","Dollar General Corp.")</f>
        <v>0</v>
      </c>
      <c r="C59">
        <v>220.77</v>
      </c>
      <c r="D59">
        <v>178</v>
      </c>
      <c r="E59">
        <v>1.240280898876404</v>
      </c>
      <c r="F59">
        <v>0.007337953526294334</v>
      </c>
      <c r="G59">
        <v>-0.0421533405840564</v>
      </c>
      <c r="H59">
        <v>0.1</v>
      </c>
      <c r="I59">
        <v>0.06128250217562803</v>
      </c>
      <c r="J59" t="s">
        <v>775</v>
      </c>
      <c r="K59" t="s">
        <v>370</v>
      </c>
      <c r="L59">
        <v>9.9</v>
      </c>
      <c r="M59">
        <v>1.62</v>
      </c>
      <c r="N59">
        <v>0.1636363636363636</v>
      </c>
      <c r="O59">
        <v>7</v>
      </c>
      <c r="P59">
        <v>0.08977506465822516</v>
      </c>
      <c r="Q59">
        <v>0.054153055669795</v>
      </c>
      <c r="R59" t="s">
        <v>779</v>
      </c>
      <c r="S59" t="s">
        <v>789</v>
      </c>
      <c r="T59">
        <v>51370.243799</v>
      </c>
      <c r="U59" s="2">
        <v>44439</v>
      </c>
      <c r="V59" t="s">
        <v>800</v>
      </c>
    </row>
    <row r="60" spans="1:22">
      <c r="A60" s="1" t="s">
        <v>80</v>
      </c>
      <c r="B60">
        <f>HYPERLINK("https://www.suredividend.com/sure-analysis-AXS/","Axis Capital Holdings Ltd")</f>
        <v>0</v>
      </c>
      <c r="C60">
        <v>52.47</v>
      </c>
      <c r="D60">
        <v>53</v>
      </c>
      <c r="E60">
        <v>0.99</v>
      </c>
      <c r="F60">
        <v>0.03201829616923956</v>
      </c>
      <c r="G60">
        <v>0.002012088709965276</v>
      </c>
      <c r="H60">
        <v>0.03</v>
      </c>
      <c r="I60">
        <v>0.0612612658859808</v>
      </c>
      <c r="J60" t="s">
        <v>775</v>
      </c>
      <c r="K60" t="s">
        <v>775</v>
      </c>
      <c r="L60">
        <v>5.1</v>
      </c>
      <c r="M60">
        <v>1.68</v>
      </c>
      <c r="N60">
        <v>0.3294117647058823</v>
      </c>
      <c r="O60">
        <v>19</v>
      </c>
      <c r="P60">
        <v>0.03025579475561258</v>
      </c>
      <c r="Q60">
        <v>0.138828397685831</v>
      </c>
      <c r="R60" t="s">
        <v>779</v>
      </c>
      <c r="S60" t="s">
        <v>790</v>
      </c>
      <c r="T60">
        <v>4442.124955</v>
      </c>
      <c r="U60" s="2">
        <v>44409</v>
      </c>
      <c r="V60" t="s">
        <v>798</v>
      </c>
    </row>
    <row r="61" spans="1:22">
      <c r="A61" s="1" t="s">
        <v>81</v>
      </c>
      <c r="B61">
        <f>HYPERLINK("https://www.suredividend.com/sure-analysis-SON/","Sonoco Products Co.")</f>
        <v>0</v>
      </c>
      <c r="C61">
        <v>60.99</v>
      </c>
      <c r="D61">
        <v>56</v>
      </c>
      <c r="E61">
        <v>1.089107142857143</v>
      </c>
      <c r="F61">
        <v>0.02951303492375799</v>
      </c>
      <c r="G61">
        <v>-0.01692675028389767</v>
      </c>
      <c r="H61">
        <v>0.05</v>
      </c>
      <c r="I61">
        <v>0.06078952964052542</v>
      </c>
      <c r="J61" t="s">
        <v>775</v>
      </c>
      <c r="K61" t="s">
        <v>775</v>
      </c>
      <c r="L61">
        <v>3.52</v>
      </c>
      <c r="M61">
        <v>1.8</v>
      </c>
      <c r="N61">
        <v>0.5113636363636364</v>
      </c>
      <c r="O61">
        <v>38</v>
      </c>
      <c r="P61">
        <v>0.05024607263868264</v>
      </c>
      <c r="Q61">
        <v>0.140392530766761</v>
      </c>
      <c r="R61" t="s">
        <v>779</v>
      </c>
      <c r="S61" t="s">
        <v>788</v>
      </c>
      <c r="T61">
        <v>5974.306474</v>
      </c>
      <c r="U61" s="2">
        <v>44491</v>
      </c>
      <c r="V61" t="s">
        <v>795</v>
      </c>
    </row>
    <row r="62" spans="1:22">
      <c r="A62" s="1" t="s">
        <v>82</v>
      </c>
      <c r="B62">
        <f>HYPERLINK("https://www.suredividend.com/sure-analysis-MCK/","Mckesson Corporation")</f>
        <v>0</v>
      </c>
      <c r="C62">
        <v>219.64</v>
      </c>
      <c r="D62">
        <v>244</v>
      </c>
      <c r="E62">
        <v>0.9001639344262294</v>
      </c>
      <c r="F62">
        <v>0.008559460936077217</v>
      </c>
      <c r="G62">
        <v>0.02125848599410629</v>
      </c>
      <c r="H62">
        <v>0.03</v>
      </c>
      <c r="I62">
        <v>0.06036903353606737</v>
      </c>
      <c r="J62" t="s">
        <v>775</v>
      </c>
      <c r="K62" t="s">
        <v>370</v>
      </c>
      <c r="L62">
        <v>20.3</v>
      </c>
      <c r="M62">
        <v>1.88</v>
      </c>
      <c r="N62">
        <v>0.09261083743842363</v>
      </c>
      <c r="O62">
        <v>14</v>
      </c>
      <c r="P62">
        <v>0.0702598056972048</v>
      </c>
      <c r="Q62">
        <v>0.240909879951892</v>
      </c>
      <c r="R62" t="s">
        <v>779</v>
      </c>
      <c r="S62" t="s">
        <v>784</v>
      </c>
      <c r="T62">
        <v>33507.62815</v>
      </c>
      <c r="U62" s="2">
        <v>44428</v>
      </c>
      <c r="V62" t="s">
        <v>798</v>
      </c>
    </row>
    <row r="63" spans="1:22">
      <c r="A63" s="1" t="s">
        <v>83</v>
      </c>
      <c r="B63">
        <f>HYPERLINK("https://www.suredividend.com/sure-analysis-MKC/","McCormick &amp; Co., Inc.")</f>
        <v>0</v>
      </c>
      <c r="C63">
        <v>82.31</v>
      </c>
      <c r="D63">
        <v>69</v>
      </c>
      <c r="E63">
        <v>1.192898550724638</v>
      </c>
      <c r="F63">
        <v>0.0165229012270684</v>
      </c>
      <c r="G63">
        <v>-0.03466223223642939</v>
      </c>
      <c r="H63">
        <v>0.08</v>
      </c>
      <c r="I63">
        <v>0.06019090246622905</v>
      </c>
      <c r="J63" t="s">
        <v>775</v>
      </c>
      <c r="K63" t="s">
        <v>370</v>
      </c>
      <c r="L63">
        <v>3</v>
      </c>
      <c r="M63">
        <v>1.36</v>
      </c>
      <c r="N63">
        <v>0.4533333333333334</v>
      </c>
      <c r="O63">
        <v>34</v>
      </c>
      <c r="P63">
        <v>0.08973644480326026</v>
      </c>
      <c r="Q63">
        <v>-0.074188400031096</v>
      </c>
      <c r="R63" t="s">
        <v>779</v>
      </c>
      <c r="S63" t="s">
        <v>789</v>
      </c>
      <c r="T63">
        <v>21599.877028</v>
      </c>
      <c r="U63" s="2">
        <v>44470</v>
      </c>
      <c r="V63" t="s">
        <v>795</v>
      </c>
    </row>
    <row r="64" spans="1:22">
      <c r="A64" s="1" t="s">
        <v>84</v>
      </c>
      <c r="B64">
        <f>HYPERLINK("https://www.suredividend.com/sure-analysis-TSN/","Tyson Foods, Inc.")</f>
        <v>0</v>
      </c>
      <c r="C64">
        <v>82.54000000000001</v>
      </c>
      <c r="D64">
        <v>86</v>
      </c>
      <c r="E64">
        <v>0.9597674418604651</v>
      </c>
      <c r="F64">
        <v>0.02156530167191665</v>
      </c>
      <c r="G64">
        <v>0.008246672391784449</v>
      </c>
      <c r="H64">
        <v>0.03</v>
      </c>
      <c r="I64">
        <v>0.0597519416646457</v>
      </c>
      <c r="J64" t="s">
        <v>775</v>
      </c>
      <c r="K64" t="s">
        <v>776</v>
      </c>
      <c r="L64">
        <v>7.2</v>
      </c>
      <c r="M64">
        <v>1.78</v>
      </c>
      <c r="N64">
        <v>0.2472222222222222</v>
      </c>
      <c r="O64">
        <v>10</v>
      </c>
      <c r="P64">
        <v>0.05981824312960904</v>
      </c>
      <c r="Q64">
        <v>0.3846025806736521</v>
      </c>
      <c r="R64" t="s">
        <v>779</v>
      </c>
      <c r="S64" t="s">
        <v>789</v>
      </c>
      <c r="T64">
        <v>29684.36672</v>
      </c>
      <c r="U64" s="2">
        <v>44418</v>
      </c>
      <c r="V64" t="s">
        <v>799</v>
      </c>
    </row>
    <row r="65" spans="1:22">
      <c r="A65" s="1" t="s">
        <v>85</v>
      </c>
      <c r="B65">
        <f>HYPERLINK("https://www.suredividend.com/sure-analysis-INTU/","Intuit Inc")</f>
        <v>0</v>
      </c>
      <c r="C65">
        <v>603.98</v>
      </c>
      <c r="D65">
        <v>446</v>
      </c>
      <c r="E65">
        <v>1.354215246636771</v>
      </c>
      <c r="F65">
        <v>0.004503460379482765</v>
      </c>
      <c r="G65">
        <v>-0.05884216898277628</v>
      </c>
      <c r="H65">
        <v>0.12</v>
      </c>
      <c r="I65">
        <v>0.0592348213233671</v>
      </c>
      <c r="J65" t="s">
        <v>775</v>
      </c>
      <c r="K65" t="s">
        <v>514</v>
      </c>
      <c r="L65">
        <v>11.15</v>
      </c>
      <c r="M65">
        <v>2.72</v>
      </c>
      <c r="N65">
        <v>0.2439461883408072</v>
      </c>
      <c r="O65">
        <v>10</v>
      </c>
      <c r="P65">
        <v>0.1198331558543506</v>
      </c>
      <c r="Q65">
        <v>0.7108487488312211</v>
      </c>
      <c r="R65" t="s">
        <v>779</v>
      </c>
      <c r="S65" t="s">
        <v>785</v>
      </c>
      <c r="T65">
        <v>167929.290198</v>
      </c>
      <c r="U65" s="2">
        <v>44434</v>
      </c>
      <c r="V65" t="s">
        <v>794</v>
      </c>
    </row>
    <row r="66" spans="1:22">
      <c r="A66" s="1" t="s">
        <v>86</v>
      </c>
      <c r="B66">
        <f>HYPERLINK("https://www.suredividend.com/sure-analysis-SYY/","Sysco Corp.")</f>
        <v>0</v>
      </c>
      <c r="C66">
        <v>78.55</v>
      </c>
      <c r="D66">
        <v>66</v>
      </c>
      <c r="E66">
        <v>1.190151515151515</v>
      </c>
      <c r="F66">
        <v>0.02393380012730745</v>
      </c>
      <c r="G66">
        <v>-0.03421701627290197</v>
      </c>
      <c r="H66">
        <v>0.07000000000000001</v>
      </c>
      <c r="I66">
        <v>0.05869796471003363</v>
      </c>
      <c r="J66" t="s">
        <v>775</v>
      </c>
      <c r="K66" t="s">
        <v>776</v>
      </c>
      <c r="L66">
        <v>3.3</v>
      </c>
      <c r="M66">
        <v>1.88</v>
      </c>
      <c r="N66">
        <v>0.5696969696969697</v>
      </c>
      <c r="O66">
        <v>51</v>
      </c>
      <c r="P66">
        <v>0.07981721406627784</v>
      </c>
      <c r="Q66">
        <v>0.146465257493792</v>
      </c>
      <c r="R66" t="s">
        <v>779</v>
      </c>
      <c r="S66" t="s">
        <v>789</v>
      </c>
      <c r="T66">
        <v>40777.126855</v>
      </c>
      <c r="U66" s="2">
        <v>44445</v>
      </c>
      <c r="V66" t="s">
        <v>796</v>
      </c>
    </row>
    <row r="67" spans="1:22">
      <c r="A67" s="1" t="s">
        <v>87</v>
      </c>
      <c r="B67">
        <f>HYPERLINK("https://www.suredividend.com/sure-analysis-BEN/","Franklin Resources, Inc.")</f>
        <v>0</v>
      </c>
      <c r="C67">
        <v>35.01</v>
      </c>
      <c r="D67">
        <v>33</v>
      </c>
      <c r="E67">
        <v>1.060909090909091</v>
      </c>
      <c r="F67">
        <v>0.0319908597543559</v>
      </c>
      <c r="G67">
        <v>-0.01175559139859639</v>
      </c>
      <c r="H67">
        <v>0.04</v>
      </c>
      <c r="I67">
        <v>0.05818217090259847</v>
      </c>
      <c r="J67" t="s">
        <v>775</v>
      </c>
      <c r="K67" t="s">
        <v>775</v>
      </c>
      <c r="L67">
        <v>3.3</v>
      </c>
      <c r="M67">
        <v>1.12</v>
      </c>
      <c r="N67">
        <v>0.3393939393939395</v>
      </c>
      <c r="O67">
        <v>41</v>
      </c>
      <c r="P67">
        <v>0.03959498820755258</v>
      </c>
      <c r="Q67">
        <v>0.8177932031226141</v>
      </c>
      <c r="R67" t="s">
        <v>779</v>
      </c>
      <c r="S67" t="s">
        <v>790</v>
      </c>
      <c r="T67">
        <v>17961.951452</v>
      </c>
      <c r="U67" s="2">
        <v>44507</v>
      </c>
      <c r="V67" t="s">
        <v>799</v>
      </c>
    </row>
    <row r="68" spans="1:22">
      <c r="A68" s="1" t="s">
        <v>88</v>
      </c>
      <c r="B68">
        <f>HYPERLINK("https://www.suredividend.com/sure-analysis-TRV/","Travelers Companies Inc.")</f>
        <v>0</v>
      </c>
      <c r="C68">
        <v>158.22</v>
      </c>
      <c r="D68">
        <v>147</v>
      </c>
      <c r="E68">
        <v>1.076326530612245</v>
      </c>
      <c r="F68">
        <v>0.02224750347617242</v>
      </c>
      <c r="G68">
        <v>-0.01460310172946366</v>
      </c>
      <c r="H68">
        <v>0.05</v>
      </c>
      <c r="I68">
        <v>0.05753268306969472</v>
      </c>
      <c r="J68" t="s">
        <v>775</v>
      </c>
      <c r="K68" t="s">
        <v>776</v>
      </c>
      <c r="L68">
        <v>12.25</v>
      </c>
      <c r="M68">
        <v>3.52</v>
      </c>
      <c r="N68">
        <v>0.2873469387755102</v>
      </c>
      <c r="O68">
        <v>16</v>
      </c>
      <c r="P68">
        <v>0.0701307832252307</v>
      </c>
      <c r="Q68">
        <v>0.199374252772314</v>
      </c>
      <c r="R68" t="s">
        <v>779</v>
      </c>
      <c r="S68" t="s">
        <v>790</v>
      </c>
      <c r="T68">
        <v>38721.767334</v>
      </c>
      <c r="U68" s="2">
        <v>44492</v>
      </c>
      <c r="V68" t="s">
        <v>798</v>
      </c>
    </row>
    <row r="69" spans="1:22">
      <c r="A69" s="1" t="s">
        <v>89</v>
      </c>
      <c r="B69">
        <f>HYPERLINK("https://www.suredividend.com/sure-analysis-BBY/","Best Buy Co. Inc.")</f>
        <v>0</v>
      </c>
      <c r="C69">
        <v>131.25</v>
      </c>
      <c r="D69">
        <v>116</v>
      </c>
      <c r="E69">
        <v>1.131465517241379</v>
      </c>
      <c r="F69">
        <v>0.02133333333333333</v>
      </c>
      <c r="G69">
        <v>-0.0244001262745358</v>
      </c>
      <c r="H69">
        <v>0.06</v>
      </c>
      <c r="I69">
        <v>0.05674709713811499</v>
      </c>
      <c r="J69" t="s">
        <v>775</v>
      </c>
      <c r="K69" t="s">
        <v>776</v>
      </c>
      <c r="L69">
        <v>9.69</v>
      </c>
      <c r="M69">
        <v>2.8</v>
      </c>
      <c r="N69">
        <v>0.2889576883384933</v>
      </c>
      <c r="O69">
        <v>18</v>
      </c>
      <c r="P69">
        <v>0.07978367728709435</v>
      </c>
      <c r="Q69">
        <v>0.226966686202393</v>
      </c>
      <c r="R69" t="s">
        <v>779</v>
      </c>
      <c r="S69" t="s">
        <v>788</v>
      </c>
      <c r="T69">
        <v>32698.483407</v>
      </c>
      <c r="U69" s="2">
        <v>44452</v>
      </c>
      <c r="V69" t="s">
        <v>800</v>
      </c>
    </row>
    <row r="70" spans="1:22">
      <c r="A70" s="1" t="s">
        <v>90</v>
      </c>
      <c r="B70">
        <f>HYPERLINK("https://www.suredividend.com/sure-analysis-ABC/","Amerisource Bergen Corp.")</f>
        <v>0</v>
      </c>
      <c r="C70">
        <v>125.68</v>
      </c>
      <c r="D70">
        <v>120</v>
      </c>
      <c r="E70">
        <v>1.047333333333333</v>
      </c>
      <c r="F70">
        <v>0.01464035646085296</v>
      </c>
      <c r="G70">
        <v>-0.009206805649189409</v>
      </c>
      <c r="H70">
        <v>0.05</v>
      </c>
      <c r="I70">
        <v>0.05541718796897221</v>
      </c>
      <c r="J70" t="s">
        <v>775</v>
      </c>
      <c r="K70" t="s">
        <v>776</v>
      </c>
      <c r="L70">
        <v>9.220000000000001</v>
      </c>
      <c r="M70">
        <v>1.84</v>
      </c>
      <c r="N70">
        <v>0.1995661605206074</v>
      </c>
      <c r="O70">
        <v>18</v>
      </c>
      <c r="P70">
        <v>0.07323961217931352</v>
      </c>
      <c r="Q70">
        <v>0.191780376681751</v>
      </c>
      <c r="R70" t="s">
        <v>779</v>
      </c>
      <c r="S70" t="s">
        <v>784</v>
      </c>
      <c r="T70">
        <v>25904.819752</v>
      </c>
      <c r="U70" s="2">
        <v>44416</v>
      </c>
      <c r="V70" t="s">
        <v>799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304.83</v>
      </c>
      <c r="D71">
        <v>250</v>
      </c>
      <c r="E71">
        <v>1.21932</v>
      </c>
      <c r="F71">
        <v>0.01482793688285274</v>
      </c>
      <c r="G71">
        <v>-0.03888255405809971</v>
      </c>
      <c r="H71">
        <v>0.08</v>
      </c>
      <c r="I71">
        <v>0.05370779825615823</v>
      </c>
      <c r="J71" t="s">
        <v>775</v>
      </c>
      <c r="K71" t="s">
        <v>370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0.6971857968014831</v>
      </c>
      <c r="R71" t="s">
        <v>779</v>
      </c>
      <c r="S71" t="s">
        <v>790</v>
      </c>
      <c r="T71">
        <v>34715.259972</v>
      </c>
      <c r="U71" s="2">
        <v>44496</v>
      </c>
      <c r="V71" t="s">
        <v>795</v>
      </c>
    </row>
    <row r="72" spans="1:22">
      <c r="A72" s="1" t="s">
        <v>92</v>
      </c>
      <c r="B72">
        <f>HYPERLINK("https://www.suredividend.com/sure-analysis-UGI/","UGI Corp.")</f>
        <v>0</v>
      </c>
      <c r="C72">
        <v>44.76</v>
      </c>
      <c r="D72">
        <v>47</v>
      </c>
      <c r="E72">
        <v>0.9523404255319149</v>
      </c>
      <c r="F72">
        <v>0.03083109919571046</v>
      </c>
      <c r="G72">
        <v>0.009814391984810822</v>
      </c>
      <c r="H72">
        <v>0.016</v>
      </c>
      <c r="I72">
        <v>0.05369371229745323</v>
      </c>
      <c r="J72" t="s">
        <v>775</v>
      </c>
      <c r="K72" t="s">
        <v>775</v>
      </c>
      <c r="L72">
        <v>3</v>
      </c>
      <c r="M72">
        <v>1.38</v>
      </c>
      <c r="N72">
        <v>0.46</v>
      </c>
      <c r="O72">
        <v>34</v>
      </c>
      <c r="P72">
        <v>0.01681614782195462</v>
      </c>
      <c r="Q72">
        <v>0.34092186875201</v>
      </c>
      <c r="R72" t="s">
        <v>779</v>
      </c>
      <c r="S72" t="s">
        <v>791</v>
      </c>
      <c r="T72">
        <v>9325.721562000001</v>
      </c>
      <c r="U72" s="2">
        <v>44420</v>
      </c>
      <c r="V72" t="s">
        <v>803</v>
      </c>
    </row>
    <row r="73" spans="1:22">
      <c r="A73" s="1" t="s">
        <v>93</v>
      </c>
      <c r="B73">
        <f>HYPERLINK("https://www.suredividend.com/sure-analysis-KO/","Coca-Cola Co")</f>
        <v>0</v>
      </c>
      <c r="C73">
        <v>56.72</v>
      </c>
      <c r="D73">
        <v>50</v>
      </c>
      <c r="E73">
        <v>1.1344</v>
      </c>
      <c r="F73">
        <v>0.02961918194640338</v>
      </c>
      <c r="G73">
        <v>-0.02490538860036196</v>
      </c>
      <c r="H73">
        <v>0.05</v>
      </c>
      <c r="I73">
        <v>0.05252741194293731</v>
      </c>
      <c r="J73" t="s">
        <v>775</v>
      </c>
      <c r="K73" t="s">
        <v>776</v>
      </c>
      <c r="L73">
        <v>2.25</v>
      </c>
      <c r="M73">
        <v>1.68</v>
      </c>
      <c r="N73">
        <v>0.7466666666666666</v>
      </c>
      <c r="O73">
        <v>59</v>
      </c>
      <c r="P73">
        <v>0.03959498820755258</v>
      </c>
      <c r="Q73">
        <v>0.108538236621597</v>
      </c>
      <c r="R73" t="s">
        <v>779</v>
      </c>
      <c r="S73" t="s">
        <v>789</v>
      </c>
      <c r="T73">
        <v>244004.049132</v>
      </c>
      <c r="U73" s="2">
        <v>44400</v>
      </c>
      <c r="V73" t="s">
        <v>798</v>
      </c>
    </row>
    <row r="74" spans="1:22">
      <c r="A74" s="1" t="s">
        <v>94</v>
      </c>
      <c r="B74">
        <f>HYPERLINK("https://www.suredividend.com/sure-analysis-GD/","General Dynamics Corp.")</f>
        <v>0</v>
      </c>
      <c r="C74">
        <v>201.33</v>
      </c>
      <c r="D74">
        <v>173</v>
      </c>
      <c r="E74">
        <v>1.163757225433526</v>
      </c>
      <c r="F74">
        <v>0.02364277554264143</v>
      </c>
      <c r="G74">
        <v>-0.02987538985460791</v>
      </c>
      <c r="H74">
        <v>0.06</v>
      </c>
      <c r="I74">
        <v>0.0524419731278456</v>
      </c>
      <c r="J74" t="s">
        <v>775</v>
      </c>
      <c r="K74" t="s">
        <v>776</v>
      </c>
      <c r="L74">
        <v>11.5</v>
      </c>
      <c r="M74">
        <v>4.76</v>
      </c>
      <c r="N74">
        <v>0.4139130434782609</v>
      </c>
      <c r="O74">
        <v>30</v>
      </c>
      <c r="P74">
        <v>0.06000153927394081</v>
      </c>
      <c r="Q74">
        <v>0.415269395078367</v>
      </c>
      <c r="R74" t="s">
        <v>779</v>
      </c>
      <c r="S74" t="s">
        <v>786</v>
      </c>
      <c r="T74">
        <v>56648.72775</v>
      </c>
      <c r="U74" s="2">
        <v>44508</v>
      </c>
      <c r="V74" t="s">
        <v>800</v>
      </c>
    </row>
    <row r="75" spans="1:22">
      <c r="A75" s="1" t="s">
        <v>95</v>
      </c>
      <c r="B75">
        <f>HYPERLINK("https://www.suredividend.com/sure-analysis-FFMR/","First Farmers Financial Corp")</f>
        <v>0</v>
      </c>
      <c r="C75">
        <v>51</v>
      </c>
      <c r="D75">
        <v>45</v>
      </c>
      <c r="E75">
        <v>1.133333333333333</v>
      </c>
      <c r="F75">
        <v>0.02588235294117647</v>
      </c>
      <c r="G75">
        <v>-0.02472191044052729</v>
      </c>
      <c r="H75">
        <v>0.05</v>
      </c>
      <c r="I75">
        <v>0.05148276887809189</v>
      </c>
      <c r="J75" t="s">
        <v>775</v>
      </c>
      <c r="K75" t="s">
        <v>775</v>
      </c>
      <c r="L75">
        <v>4.5</v>
      </c>
      <c r="M75">
        <v>1.32</v>
      </c>
      <c r="N75">
        <v>0.2933333333333333</v>
      </c>
      <c r="O75">
        <v>30</v>
      </c>
      <c r="P75">
        <v>0.0698417929634616</v>
      </c>
      <c r="Q75">
        <v>0.193261581656527</v>
      </c>
      <c r="R75" t="s">
        <v>779</v>
      </c>
      <c r="S75" t="s">
        <v>790</v>
      </c>
      <c r="T75">
        <v>358.907451</v>
      </c>
      <c r="U75" s="2">
        <v>44253</v>
      </c>
      <c r="V75" t="s">
        <v>798</v>
      </c>
    </row>
    <row r="76" spans="1:22">
      <c r="A76" s="1" t="s">
        <v>96</v>
      </c>
      <c r="B76">
        <f>HYPERLINK("https://www.suredividend.com/sure-analysis-VFC/","VF Corp.")</f>
        <v>0</v>
      </c>
      <c r="C76">
        <v>75.53</v>
      </c>
      <c r="D76">
        <v>61</v>
      </c>
      <c r="E76">
        <v>1.238196721311476</v>
      </c>
      <c r="F76">
        <v>0.02647954455183371</v>
      </c>
      <c r="G76">
        <v>-0.04183110103572085</v>
      </c>
      <c r="H76">
        <v>0.07000000000000001</v>
      </c>
      <c r="I76">
        <v>0.05083977734333733</v>
      </c>
      <c r="J76" t="s">
        <v>775</v>
      </c>
      <c r="K76" t="s">
        <v>776</v>
      </c>
      <c r="L76">
        <v>3.2</v>
      </c>
      <c r="M76">
        <v>2</v>
      </c>
      <c r="N76">
        <v>0.625</v>
      </c>
      <c r="O76">
        <v>49</v>
      </c>
      <c r="P76">
        <v>0.03886011825408464</v>
      </c>
      <c r="Q76">
        <v>-0.009735363037759001</v>
      </c>
      <c r="R76" t="s">
        <v>779</v>
      </c>
      <c r="S76" t="s">
        <v>788</v>
      </c>
      <c r="T76">
        <v>29529.371359</v>
      </c>
      <c r="U76" s="2">
        <v>44493</v>
      </c>
      <c r="V76" t="s">
        <v>799</v>
      </c>
    </row>
    <row r="77" spans="1:22">
      <c r="A77" s="1" t="s">
        <v>97</v>
      </c>
      <c r="B77">
        <f>HYPERLINK("https://www.suredividend.com/sure-analysis-GPC/","Genuine Parts Co.")</f>
        <v>0</v>
      </c>
      <c r="C77">
        <v>134.19</v>
      </c>
      <c r="D77">
        <v>114</v>
      </c>
      <c r="E77">
        <v>1.177105263157895</v>
      </c>
      <c r="F77">
        <v>0.02429391161785528</v>
      </c>
      <c r="G77">
        <v>-0.03208562533603698</v>
      </c>
      <c r="H77">
        <v>0.06</v>
      </c>
      <c r="I77">
        <v>0.04959206752170964</v>
      </c>
      <c r="J77" t="s">
        <v>775</v>
      </c>
      <c r="K77" t="s">
        <v>775</v>
      </c>
      <c r="L77">
        <v>6.7</v>
      </c>
      <c r="M77">
        <v>3.26</v>
      </c>
      <c r="N77">
        <v>0.4865671641791044</v>
      </c>
      <c r="O77">
        <v>65</v>
      </c>
      <c r="P77">
        <v>0.04019456757723883</v>
      </c>
      <c r="Q77">
        <v>0.4074987202657661</v>
      </c>
      <c r="R77" t="s">
        <v>779</v>
      </c>
      <c r="S77" t="s">
        <v>788</v>
      </c>
      <c r="T77">
        <v>19188.482108</v>
      </c>
      <c r="U77" s="2">
        <v>44499</v>
      </c>
      <c r="V77" t="s">
        <v>798</v>
      </c>
    </row>
    <row r="78" spans="1:22">
      <c r="A78" s="1" t="s">
        <v>98</v>
      </c>
      <c r="B78">
        <f>HYPERLINK("https://www.suredividend.com/sure-analysis-EXPD/","Expeditors International Of Washington, Inc.")</f>
        <v>0</v>
      </c>
      <c r="C78">
        <v>125.52</v>
      </c>
      <c r="D78">
        <v>120</v>
      </c>
      <c r="E78">
        <v>1.046</v>
      </c>
      <c r="F78">
        <v>0.009241555130656469</v>
      </c>
      <c r="G78">
        <v>-0.008954342068352439</v>
      </c>
      <c r="H78">
        <v>0.05</v>
      </c>
      <c r="I78">
        <v>0.04932458597409073</v>
      </c>
      <c r="J78" t="s">
        <v>775</v>
      </c>
      <c r="K78" t="s">
        <v>370</v>
      </c>
      <c r="L78">
        <v>6.69</v>
      </c>
      <c r="M78">
        <v>1.16</v>
      </c>
      <c r="N78">
        <v>0.1733931240657698</v>
      </c>
      <c r="O78">
        <v>27</v>
      </c>
      <c r="P78">
        <v>0.03980577390781126</v>
      </c>
      <c r="Q78">
        <v>0.450164415240789</v>
      </c>
      <c r="R78" t="s">
        <v>779</v>
      </c>
      <c r="S78" t="s">
        <v>786</v>
      </c>
      <c r="T78">
        <v>21224.604858</v>
      </c>
      <c r="U78" s="2">
        <v>44425</v>
      </c>
      <c r="V78" t="s">
        <v>796</v>
      </c>
    </row>
    <row r="79" spans="1:22">
      <c r="A79" s="1" t="s">
        <v>99</v>
      </c>
      <c r="B79">
        <f>HYPERLINK("https://www.suredividend.com/sure-analysis-ORCL/","Oracle Corp.")</f>
        <v>0</v>
      </c>
      <c r="C79">
        <v>93.83</v>
      </c>
      <c r="D79">
        <v>75</v>
      </c>
      <c r="E79">
        <v>1.251066666666667</v>
      </c>
      <c r="F79">
        <v>0.01364169242246616</v>
      </c>
      <c r="G79">
        <v>-0.04381063418816289</v>
      </c>
      <c r="H79">
        <v>0.08</v>
      </c>
      <c r="I79">
        <v>0.04706447429861349</v>
      </c>
      <c r="J79" t="s">
        <v>775</v>
      </c>
      <c r="K79" t="s">
        <v>370</v>
      </c>
      <c r="L79">
        <v>4.7</v>
      </c>
      <c r="M79">
        <v>1.28</v>
      </c>
      <c r="N79">
        <v>0.2723404255319149</v>
      </c>
      <c r="O79">
        <v>12</v>
      </c>
      <c r="P79">
        <v>0.07056368416916192</v>
      </c>
      <c r="Q79">
        <v>0.689786074762181</v>
      </c>
      <c r="R79" t="s">
        <v>779</v>
      </c>
      <c r="S79" t="s">
        <v>785</v>
      </c>
      <c r="T79">
        <v>259004.35161</v>
      </c>
      <c r="U79" s="2">
        <v>44476</v>
      </c>
      <c r="V79" t="s">
        <v>797</v>
      </c>
    </row>
    <row r="80" spans="1:22">
      <c r="A80" s="1" t="s">
        <v>100</v>
      </c>
      <c r="B80">
        <f>HYPERLINK("https://www.suredividend.com/sure-analysis-ADP/","Automatic Data Processing Inc.")</f>
        <v>0</v>
      </c>
      <c r="C80">
        <v>229.64</v>
      </c>
      <c r="D80">
        <v>180</v>
      </c>
      <c r="E80">
        <v>1.275777777777778</v>
      </c>
      <c r="F80">
        <v>0.01619926842013587</v>
      </c>
      <c r="G80">
        <v>-0.04754384342370344</v>
      </c>
      <c r="H80">
        <v>0.08</v>
      </c>
      <c r="I80">
        <v>0.04637424338920648</v>
      </c>
      <c r="J80" t="s">
        <v>775</v>
      </c>
      <c r="K80" t="s">
        <v>776</v>
      </c>
      <c r="L80">
        <v>6.65</v>
      </c>
      <c r="M80">
        <v>3.72</v>
      </c>
      <c r="N80">
        <v>0.5593984962406015</v>
      </c>
      <c r="O80">
        <v>46</v>
      </c>
      <c r="P80">
        <v>0.08016195651539393</v>
      </c>
      <c r="Q80">
        <v>0.375993948508288</v>
      </c>
      <c r="R80" t="s">
        <v>779</v>
      </c>
      <c r="S80" t="s">
        <v>786</v>
      </c>
      <c r="T80">
        <v>96581.22242599999</v>
      </c>
      <c r="U80" s="2">
        <v>44408</v>
      </c>
      <c r="V80" t="s">
        <v>798</v>
      </c>
    </row>
    <row r="81" spans="1:22">
      <c r="A81" s="1" t="s">
        <v>101</v>
      </c>
      <c r="B81">
        <f>HYPERLINK("https://www.suredividend.com/sure-analysis-PPG/","PPG Industries, Inc.")</f>
        <v>0</v>
      </c>
      <c r="C81">
        <v>160.73</v>
      </c>
      <c r="D81">
        <v>127</v>
      </c>
      <c r="E81">
        <v>1.265590551181102</v>
      </c>
      <c r="F81">
        <v>0.01468300877247558</v>
      </c>
      <c r="G81">
        <v>-0.0460154192730613</v>
      </c>
      <c r="H81">
        <v>0.08</v>
      </c>
      <c r="I81">
        <v>0.04631675898415466</v>
      </c>
      <c r="J81" t="s">
        <v>775</v>
      </c>
      <c r="K81" t="s">
        <v>776</v>
      </c>
      <c r="L81">
        <v>6.7</v>
      </c>
      <c r="M81">
        <v>2.36</v>
      </c>
      <c r="N81">
        <v>0.3522388059701492</v>
      </c>
      <c r="O81">
        <v>50</v>
      </c>
      <c r="P81">
        <v>0.08014856837381279</v>
      </c>
      <c r="Q81">
        <v>0.154290249125077</v>
      </c>
      <c r="R81" t="s">
        <v>779</v>
      </c>
      <c r="S81" t="s">
        <v>787</v>
      </c>
      <c r="T81">
        <v>38328.367717</v>
      </c>
      <c r="U81" s="2">
        <v>44490</v>
      </c>
      <c r="V81" t="s">
        <v>795</v>
      </c>
    </row>
    <row r="82" spans="1:22">
      <c r="A82" s="1" t="s">
        <v>102</v>
      </c>
      <c r="B82">
        <f>HYPERLINK("https://www.suredividend.com/sure-analysis-PNR/","Pentair plc")</f>
        <v>0</v>
      </c>
      <c r="C82">
        <v>73.92</v>
      </c>
      <c r="D82">
        <v>64</v>
      </c>
      <c r="E82">
        <v>1.155</v>
      </c>
      <c r="F82">
        <v>0.01082251082251082</v>
      </c>
      <c r="G82">
        <v>-0.02840873167228219</v>
      </c>
      <c r="H82">
        <v>0.065</v>
      </c>
      <c r="I82">
        <v>0.04578478318264945</v>
      </c>
      <c r="J82" t="s">
        <v>775</v>
      </c>
      <c r="K82" t="s">
        <v>370</v>
      </c>
      <c r="L82">
        <v>3.37</v>
      </c>
      <c r="M82">
        <v>0.8</v>
      </c>
      <c r="N82">
        <v>0.2373887240356083</v>
      </c>
      <c r="O82">
        <v>44</v>
      </c>
      <c r="P82">
        <v>0.05988502997905321</v>
      </c>
      <c r="Q82">
        <v>0.4287876668627401</v>
      </c>
      <c r="R82" t="s">
        <v>779</v>
      </c>
      <c r="S82" t="s">
        <v>786</v>
      </c>
      <c r="T82">
        <v>12339.710791</v>
      </c>
      <c r="U82" s="2">
        <v>44503</v>
      </c>
      <c r="V82" t="s">
        <v>797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75.31999999999999</v>
      </c>
      <c r="D83">
        <v>70</v>
      </c>
      <c r="E83">
        <v>1.076</v>
      </c>
      <c r="F83">
        <v>0.001062134891131174</v>
      </c>
      <c r="G83">
        <v>-0.01454330187780895</v>
      </c>
      <c r="H83">
        <v>0.06</v>
      </c>
      <c r="I83">
        <v>0.04547466478278261</v>
      </c>
      <c r="J83" t="s">
        <v>775</v>
      </c>
      <c r="K83" t="s">
        <v>514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0.8012349170437401</v>
      </c>
      <c r="R83" t="s">
        <v>779</v>
      </c>
      <c r="S83" t="s">
        <v>786</v>
      </c>
      <c r="T83">
        <v>16847.099335</v>
      </c>
      <c r="U83" s="2">
        <v>44504</v>
      </c>
      <c r="V83" t="s">
        <v>800</v>
      </c>
    </row>
    <row r="84" spans="1:22">
      <c r="A84" s="1" t="s">
        <v>104</v>
      </c>
      <c r="B84">
        <f>HYPERLINK("https://www.suredividend.com/sure-analysis-KR/","Kroger Co.")</f>
        <v>0</v>
      </c>
      <c r="C84">
        <v>42.47</v>
      </c>
      <c r="D84">
        <v>43</v>
      </c>
      <c r="E84">
        <v>0.9876744186046511</v>
      </c>
      <c r="F84">
        <v>0.01977866729456087</v>
      </c>
      <c r="G84">
        <v>0.002483513095848711</v>
      </c>
      <c r="H84">
        <v>0.02</v>
      </c>
      <c r="I84">
        <v>0.04390779851406901</v>
      </c>
      <c r="J84" t="s">
        <v>775</v>
      </c>
      <c r="K84" t="s">
        <v>776</v>
      </c>
      <c r="L84">
        <v>3.3</v>
      </c>
      <c r="M84">
        <v>0.84</v>
      </c>
      <c r="N84">
        <v>0.2545454545454546</v>
      </c>
      <c r="O84">
        <v>16</v>
      </c>
      <c r="P84">
        <v>0.07033701387905711</v>
      </c>
      <c r="Q84">
        <v>0.380588783415813</v>
      </c>
      <c r="R84" t="s">
        <v>779</v>
      </c>
      <c r="S84" t="s">
        <v>789</v>
      </c>
      <c r="T84">
        <v>31180.761844</v>
      </c>
      <c r="U84" s="2">
        <v>44451</v>
      </c>
      <c r="V84" t="s">
        <v>799</v>
      </c>
    </row>
    <row r="85" spans="1:22">
      <c r="A85" s="1" t="s">
        <v>105</v>
      </c>
      <c r="B85">
        <f>HYPERLINK("https://www.suredividend.com/sure-analysis-CSX/","CSX Corp.")</f>
        <v>0</v>
      </c>
      <c r="C85">
        <v>35.47</v>
      </c>
      <c r="D85">
        <v>28</v>
      </c>
      <c r="E85">
        <v>1.266785714285714</v>
      </c>
      <c r="F85">
        <v>0.010431350436989</v>
      </c>
      <c r="G85">
        <v>-0.04619549672191414</v>
      </c>
      <c r="H85">
        <v>0.08</v>
      </c>
      <c r="I85">
        <v>0.04256652527825078</v>
      </c>
      <c r="J85" t="s">
        <v>775</v>
      </c>
      <c r="K85" t="s">
        <v>370</v>
      </c>
      <c r="L85">
        <v>1.55</v>
      </c>
      <c r="M85">
        <v>0.37</v>
      </c>
      <c r="N85">
        <v>0.2387096774193548</v>
      </c>
      <c r="O85">
        <v>16</v>
      </c>
      <c r="P85">
        <v>0.1087611317268407</v>
      </c>
      <c r="Q85">
        <v>0.219256987399181</v>
      </c>
      <c r="R85" t="s">
        <v>779</v>
      </c>
      <c r="S85" t="s">
        <v>786</v>
      </c>
      <c r="T85">
        <v>80124.78464100001</v>
      </c>
      <c r="U85" s="2">
        <v>44493</v>
      </c>
      <c r="V85" t="s">
        <v>798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206.67</v>
      </c>
      <c r="D86">
        <v>168</v>
      </c>
      <c r="E86">
        <v>1.230178571428571</v>
      </c>
      <c r="F86">
        <v>0.02148352445928292</v>
      </c>
      <c r="G86">
        <v>-0.04058529982609016</v>
      </c>
      <c r="H86">
        <v>0.06</v>
      </c>
      <c r="I86">
        <v>0.04123572220163596</v>
      </c>
      <c r="J86" t="s">
        <v>775</v>
      </c>
      <c r="K86" t="s">
        <v>776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0.247274318312062</v>
      </c>
      <c r="R86" t="s">
        <v>779</v>
      </c>
      <c r="S86" t="s">
        <v>786</v>
      </c>
      <c r="T86">
        <v>113494.957096</v>
      </c>
      <c r="U86" s="2">
        <v>44503</v>
      </c>
      <c r="V86" t="s">
        <v>799</v>
      </c>
    </row>
    <row r="87" spans="1:22">
      <c r="A87" s="1" t="s">
        <v>107</v>
      </c>
      <c r="B87">
        <f>HYPERLINK("https://www.suredividend.com/sure-analysis-BRO/","Brown &amp; Brown, Inc.")</f>
        <v>0</v>
      </c>
      <c r="C87">
        <v>63.19</v>
      </c>
      <c r="D87">
        <v>53</v>
      </c>
      <c r="E87">
        <v>1.192264150943396</v>
      </c>
      <c r="F87">
        <v>0.006488368412723532</v>
      </c>
      <c r="G87">
        <v>-0.0345595234926892</v>
      </c>
      <c r="H87">
        <v>0.07000000000000001</v>
      </c>
      <c r="I87">
        <v>0.04034408473587736</v>
      </c>
      <c r="J87" t="s">
        <v>775</v>
      </c>
      <c r="K87" t="s">
        <v>370</v>
      </c>
      <c r="L87">
        <v>2.2</v>
      </c>
      <c r="M87">
        <v>0.41</v>
      </c>
      <c r="N87">
        <v>0.1863636363636363</v>
      </c>
      <c r="O87">
        <v>28</v>
      </c>
      <c r="P87">
        <v>0.08971100922578001</v>
      </c>
      <c r="Q87">
        <v>0.382077085727822</v>
      </c>
      <c r="R87" t="s">
        <v>779</v>
      </c>
      <c r="S87" t="s">
        <v>790</v>
      </c>
      <c r="T87">
        <v>17795.715125</v>
      </c>
      <c r="U87" s="2">
        <v>44507</v>
      </c>
      <c r="V87" t="s">
        <v>798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43.5</v>
      </c>
      <c r="D88">
        <v>37</v>
      </c>
      <c r="E88">
        <v>1.175675675675676</v>
      </c>
      <c r="F88">
        <v>0.02252873563218391</v>
      </c>
      <c r="G88">
        <v>-0.03185034858946356</v>
      </c>
      <c r="H88">
        <v>0.05</v>
      </c>
      <c r="I88">
        <v>0.03992831272420339</v>
      </c>
      <c r="J88" t="s">
        <v>775</v>
      </c>
      <c r="K88" t="s">
        <v>776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-0.107139170681959</v>
      </c>
      <c r="R88" t="s">
        <v>779</v>
      </c>
      <c r="S88" t="s">
        <v>789</v>
      </c>
      <c r="T88">
        <v>23465.584152</v>
      </c>
      <c r="U88" s="2">
        <v>44444</v>
      </c>
      <c r="V88" t="s">
        <v>798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73.98999999999999</v>
      </c>
      <c r="D89">
        <v>62</v>
      </c>
      <c r="E89">
        <v>1.193387096774194</v>
      </c>
      <c r="F89">
        <v>0.0141911069063387</v>
      </c>
      <c r="G89">
        <v>-0.03474128273063048</v>
      </c>
      <c r="H89">
        <v>0.06</v>
      </c>
      <c r="I89">
        <v>0.03861787921020543</v>
      </c>
      <c r="J89" t="s">
        <v>775</v>
      </c>
      <c r="K89" t="s">
        <v>776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0.153215895124948</v>
      </c>
      <c r="R89" t="s">
        <v>779</v>
      </c>
      <c r="S89" t="s">
        <v>790</v>
      </c>
      <c r="T89">
        <v>8502.58418</v>
      </c>
      <c r="U89" s="2">
        <v>44499</v>
      </c>
      <c r="V89" t="s">
        <v>797</v>
      </c>
    </row>
    <row r="90" spans="1:22">
      <c r="A90" s="1" t="s">
        <v>110</v>
      </c>
      <c r="B90">
        <f>HYPERLINK("https://www.suredividend.com/sure-analysis-SCL/","Stepan Co.")</f>
        <v>0</v>
      </c>
      <c r="C90">
        <v>126.92</v>
      </c>
      <c r="D90">
        <v>113</v>
      </c>
      <c r="E90">
        <v>1.123185840707965</v>
      </c>
      <c r="F90">
        <v>0.01055783170501103</v>
      </c>
      <c r="G90">
        <v>-0.02296600240846003</v>
      </c>
      <c r="H90">
        <v>0.05</v>
      </c>
      <c r="I90">
        <v>0.03769365892773413</v>
      </c>
      <c r="J90" t="s">
        <v>775</v>
      </c>
      <c r="K90" t="s">
        <v>776</v>
      </c>
      <c r="L90">
        <v>6.3</v>
      </c>
      <c r="M90">
        <v>1.34</v>
      </c>
      <c r="N90">
        <v>0.2126984126984127</v>
      </c>
      <c r="O90">
        <v>54</v>
      </c>
      <c r="P90">
        <v>0.08012069093414587</v>
      </c>
      <c r="Q90">
        <v>0.05835404260834601</v>
      </c>
      <c r="R90" t="s">
        <v>779</v>
      </c>
      <c r="S90" t="s">
        <v>787</v>
      </c>
      <c r="T90">
        <v>2855.324094</v>
      </c>
      <c r="U90" s="2">
        <v>44499</v>
      </c>
      <c r="V90" t="s">
        <v>798</v>
      </c>
    </row>
    <row r="91" spans="1:22">
      <c r="A91" s="1" t="s">
        <v>111</v>
      </c>
      <c r="B91">
        <f>HYPERLINK("https://www.suredividend.com/sure-analysis-LECO/","Lincoln Electric Holdings, Inc.")</f>
        <v>0</v>
      </c>
      <c r="C91">
        <v>143.39</v>
      </c>
      <c r="D91">
        <v>112</v>
      </c>
      <c r="E91">
        <v>1.280267857142857</v>
      </c>
      <c r="F91">
        <v>0.01562173094358045</v>
      </c>
      <c r="G91">
        <v>-0.04821286214923859</v>
      </c>
      <c r="H91">
        <v>0.07000000000000001</v>
      </c>
      <c r="I91">
        <v>0.03617926421636652</v>
      </c>
      <c r="J91" t="s">
        <v>775</v>
      </c>
      <c r="K91" t="s">
        <v>370</v>
      </c>
      <c r="L91">
        <v>6.2</v>
      </c>
      <c r="M91">
        <v>2.24</v>
      </c>
      <c r="N91">
        <v>0.3612903225806452</v>
      </c>
      <c r="O91">
        <v>26</v>
      </c>
      <c r="P91">
        <v>0.0799150058822331</v>
      </c>
      <c r="Q91">
        <v>0.352317043739723</v>
      </c>
      <c r="R91" t="s">
        <v>779</v>
      </c>
      <c r="S91" t="s">
        <v>786</v>
      </c>
      <c r="T91">
        <v>8503.543523</v>
      </c>
      <c r="U91" s="2">
        <v>44500</v>
      </c>
      <c r="V91" t="s">
        <v>797</v>
      </c>
    </row>
    <row r="92" spans="1:22">
      <c r="A92" s="1" t="s">
        <v>112</v>
      </c>
      <c r="B92">
        <f>HYPERLINK("https://www.suredividend.com/sure-analysis-EMR/","Emerson Electric Co.")</f>
        <v>0</v>
      </c>
      <c r="C92">
        <v>97.03</v>
      </c>
      <c r="D92">
        <v>78</v>
      </c>
      <c r="E92">
        <v>1.243974358974359</v>
      </c>
      <c r="F92">
        <v>0.02123054725342678</v>
      </c>
      <c r="G92">
        <v>-0.04272280207805135</v>
      </c>
      <c r="H92">
        <v>0.06</v>
      </c>
      <c r="I92">
        <v>0.03573681876341683</v>
      </c>
      <c r="J92" t="s">
        <v>775</v>
      </c>
      <c r="K92" t="s">
        <v>776</v>
      </c>
      <c r="L92">
        <v>4.1</v>
      </c>
      <c r="M92">
        <v>2.06</v>
      </c>
      <c r="N92">
        <v>0.5024390243902439</v>
      </c>
      <c r="O92">
        <v>65</v>
      </c>
      <c r="P92">
        <v>0.03016344758557654</v>
      </c>
      <c r="Q92">
        <v>0.307752355966167</v>
      </c>
      <c r="R92" t="s">
        <v>779</v>
      </c>
      <c r="S92" t="s">
        <v>786</v>
      </c>
      <c r="T92">
        <v>58285.5</v>
      </c>
      <c r="U92" s="2">
        <v>44427</v>
      </c>
      <c r="V92" t="s">
        <v>798</v>
      </c>
    </row>
    <row r="93" spans="1:22">
      <c r="A93" s="1" t="s">
        <v>113</v>
      </c>
      <c r="B93">
        <f>HYPERLINK("https://www.suredividend.com/sure-analysis-MDT/","Medtronic Plc")</f>
        <v>0</v>
      </c>
      <c r="C93">
        <v>122.41</v>
      </c>
      <c r="D93">
        <v>97</v>
      </c>
      <c r="E93">
        <v>1.261958762886598</v>
      </c>
      <c r="F93">
        <v>0.01895269994281513</v>
      </c>
      <c r="G93">
        <v>-0.04546695626114572</v>
      </c>
      <c r="H93">
        <v>0.06</v>
      </c>
      <c r="I93">
        <v>0.03456200589515546</v>
      </c>
      <c r="J93" t="s">
        <v>775</v>
      </c>
      <c r="K93" t="s">
        <v>776</v>
      </c>
      <c r="L93">
        <v>5.7</v>
      </c>
      <c r="M93">
        <v>2.32</v>
      </c>
      <c r="N93">
        <v>0.4070175438596491</v>
      </c>
      <c r="O93">
        <v>44</v>
      </c>
      <c r="P93">
        <v>0.0930602902721327</v>
      </c>
      <c r="Q93">
        <v>0.101850683870037</v>
      </c>
      <c r="R93" t="s">
        <v>779</v>
      </c>
      <c r="S93" t="s">
        <v>784</v>
      </c>
      <c r="T93">
        <v>164346.042172</v>
      </c>
      <c r="U93" s="2">
        <v>44432</v>
      </c>
      <c r="V93" t="s">
        <v>799</v>
      </c>
    </row>
    <row r="94" spans="1:22">
      <c r="A94" s="1" t="s">
        <v>114</v>
      </c>
      <c r="B94">
        <f>HYPERLINK("https://www.suredividend.com/sure-analysis-JKHY/","Jack Henry &amp; Associates, Inc.")</f>
        <v>0</v>
      </c>
      <c r="C94">
        <v>161.76</v>
      </c>
      <c r="D94">
        <v>114</v>
      </c>
      <c r="E94">
        <v>1.418947368421053</v>
      </c>
      <c r="F94">
        <v>0.01137487636003957</v>
      </c>
      <c r="G94">
        <v>-0.0675903864915206</v>
      </c>
      <c r="H94">
        <v>0.095</v>
      </c>
      <c r="I94">
        <v>0.03429129849313273</v>
      </c>
      <c r="J94" t="s">
        <v>775</v>
      </c>
      <c r="K94" t="s">
        <v>370</v>
      </c>
      <c r="L94">
        <v>4.55</v>
      </c>
      <c r="M94">
        <v>1.84</v>
      </c>
      <c r="N94">
        <v>0.4043956043956044</v>
      </c>
      <c r="O94">
        <v>31</v>
      </c>
      <c r="P94">
        <v>0.08991774272866437</v>
      </c>
      <c r="Q94">
        <v>0.012813001502916</v>
      </c>
      <c r="R94" t="s">
        <v>779</v>
      </c>
      <c r="S94" t="s">
        <v>785</v>
      </c>
      <c r="T94">
        <v>11768.82243</v>
      </c>
      <c r="U94" s="2">
        <v>44435</v>
      </c>
      <c r="V94" t="s">
        <v>797</v>
      </c>
    </row>
    <row r="95" spans="1:22">
      <c r="A95" s="1" t="s">
        <v>115</v>
      </c>
      <c r="B95">
        <f>HYPERLINK("https://www.suredividend.com/sure-analysis-CHD/","Church &amp; Dwight Co., Inc.")</f>
        <v>0</v>
      </c>
      <c r="C95">
        <v>90.40000000000001</v>
      </c>
      <c r="D95">
        <v>75</v>
      </c>
      <c r="E95">
        <v>1.205333333333333</v>
      </c>
      <c r="F95">
        <v>0.01117256637168141</v>
      </c>
      <c r="G95">
        <v>-0.03666227793021637</v>
      </c>
      <c r="H95">
        <v>0.06</v>
      </c>
      <c r="I95">
        <v>0.03350015757999958</v>
      </c>
      <c r="J95" t="s">
        <v>775</v>
      </c>
      <c r="K95" t="s">
        <v>370</v>
      </c>
      <c r="L95">
        <v>3</v>
      </c>
      <c r="M95">
        <v>1.01</v>
      </c>
      <c r="N95">
        <v>0.3366666666666667</v>
      </c>
      <c r="O95">
        <v>25</v>
      </c>
      <c r="P95">
        <v>0.0705165705095081</v>
      </c>
      <c r="Q95">
        <v>0.069372021239546</v>
      </c>
      <c r="R95" t="s">
        <v>779</v>
      </c>
      <c r="S95" t="s">
        <v>789</v>
      </c>
      <c r="T95">
        <v>21890.342496</v>
      </c>
      <c r="U95" s="2">
        <v>44414</v>
      </c>
      <c r="V95" t="s">
        <v>798</v>
      </c>
    </row>
    <row r="96" spans="1:22">
      <c r="A96" s="1" t="s">
        <v>116</v>
      </c>
      <c r="B96">
        <f>HYPERLINK("https://www.suredividend.com/sure-analysis-AROW/","Arrow Financial Corp.")</f>
        <v>0</v>
      </c>
      <c r="C96">
        <v>37.11</v>
      </c>
      <c r="D96">
        <v>40</v>
      </c>
      <c r="E96">
        <v>0.92775</v>
      </c>
      <c r="F96">
        <v>0.02802479116141202</v>
      </c>
      <c r="G96">
        <v>0.01511163920336567</v>
      </c>
      <c r="H96">
        <v>-0.01</v>
      </c>
      <c r="I96">
        <v>0.03259426724738734</v>
      </c>
      <c r="J96" t="s">
        <v>775</v>
      </c>
      <c r="K96" t="s">
        <v>775</v>
      </c>
      <c r="L96">
        <v>3.35</v>
      </c>
      <c r="M96">
        <v>1.04</v>
      </c>
      <c r="N96">
        <v>0.3104477611940298</v>
      </c>
      <c r="O96">
        <v>26</v>
      </c>
      <c r="P96">
        <v>0.02031177855938826</v>
      </c>
      <c r="Q96">
        <v>0.38308483538324</v>
      </c>
      <c r="R96" t="s">
        <v>779</v>
      </c>
      <c r="S96" t="s">
        <v>790</v>
      </c>
      <c r="T96">
        <v>597.67323</v>
      </c>
      <c r="U96" s="2">
        <v>44408</v>
      </c>
      <c r="V96" t="s">
        <v>798</v>
      </c>
    </row>
    <row r="97" spans="1:22">
      <c r="A97" s="1" t="s">
        <v>117</v>
      </c>
      <c r="B97">
        <f>HYPERLINK("https://www.suredividend.com/sure-analysis-RE/","Everest Re Group Ltd")</f>
        <v>0</v>
      </c>
      <c r="C97">
        <v>270.32</v>
      </c>
      <c r="D97">
        <v>252</v>
      </c>
      <c r="E97">
        <v>1.072698412698413</v>
      </c>
      <c r="F97">
        <v>0.02293577981651376</v>
      </c>
      <c r="G97">
        <v>-0.013937432962004</v>
      </c>
      <c r="H97">
        <v>0.02</v>
      </c>
      <c r="I97">
        <v>0.03053647596574582</v>
      </c>
      <c r="J97" t="s">
        <v>775</v>
      </c>
      <c r="K97" t="s">
        <v>776</v>
      </c>
      <c r="L97">
        <v>28</v>
      </c>
      <c r="M97">
        <v>6.2</v>
      </c>
      <c r="N97">
        <v>0.2214285714285714</v>
      </c>
      <c r="O97">
        <v>8</v>
      </c>
      <c r="P97">
        <v>0.04992181337625223</v>
      </c>
      <c r="Q97">
        <v>0.205059622673556</v>
      </c>
      <c r="R97" t="s">
        <v>779</v>
      </c>
      <c r="S97" t="s">
        <v>790</v>
      </c>
      <c r="T97">
        <v>10811.670517</v>
      </c>
      <c r="U97" s="2">
        <v>44508</v>
      </c>
      <c r="V97" t="s">
        <v>797</v>
      </c>
    </row>
    <row r="98" spans="1:22">
      <c r="A98" s="1" t="s">
        <v>118</v>
      </c>
      <c r="B98">
        <f>HYPERLINK("https://www.suredividend.com/sure-analysis-FUL/","H.B. Fuller Company")</f>
        <v>0</v>
      </c>
      <c r="C98">
        <v>75.23</v>
      </c>
      <c r="D98">
        <v>54</v>
      </c>
      <c r="E98">
        <v>1.393148148148148</v>
      </c>
      <c r="F98">
        <v>0.008906021533962515</v>
      </c>
      <c r="G98">
        <v>-0.06416229366068715</v>
      </c>
      <c r="H98">
        <v>0.09</v>
      </c>
      <c r="I98">
        <v>0.02946692710824306</v>
      </c>
      <c r="J98" t="s">
        <v>775</v>
      </c>
      <c r="K98" t="s">
        <v>370</v>
      </c>
      <c r="L98">
        <v>3.6</v>
      </c>
      <c r="M98">
        <v>0.67</v>
      </c>
      <c r="N98">
        <v>0.1861111111111111</v>
      </c>
      <c r="O98">
        <v>52</v>
      </c>
      <c r="P98">
        <v>0.05119849323654324</v>
      </c>
      <c r="Q98">
        <v>0.493729324296603</v>
      </c>
      <c r="R98" t="s">
        <v>779</v>
      </c>
      <c r="S98" t="s">
        <v>787</v>
      </c>
      <c r="T98">
        <v>3941.553975</v>
      </c>
      <c r="U98" s="2">
        <v>44463</v>
      </c>
      <c r="V98" t="s">
        <v>802</v>
      </c>
    </row>
    <row r="99" spans="1:22">
      <c r="A99" s="1" t="s">
        <v>119</v>
      </c>
      <c r="B99">
        <f>HYPERLINK("https://www.suredividend.com/sure-analysis-CSL/","Carlisle Companies Inc.")</f>
        <v>0</v>
      </c>
      <c r="C99">
        <v>235.01</v>
      </c>
      <c r="D99">
        <v>184</v>
      </c>
      <c r="E99">
        <v>1.277228260869565</v>
      </c>
      <c r="F99">
        <v>0.009191098251138251</v>
      </c>
      <c r="G99">
        <v>-0.0477602729516986</v>
      </c>
      <c r="H99">
        <v>0.07000000000000001</v>
      </c>
      <c r="I99">
        <v>0.02888884138445103</v>
      </c>
      <c r="J99" t="s">
        <v>775</v>
      </c>
      <c r="K99" t="s">
        <v>370</v>
      </c>
      <c r="L99">
        <v>9.199999999999999</v>
      </c>
      <c r="M99">
        <v>2.16</v>
      </c>
      <c r="N99">
        <v>0.2347826086956522</v>
      </c>
      <c r="O99">
        <v>45</v>
      </c>
      <c r="P99">
        <v>0.05995839365595068</v>
      </c>
      <c r="Q99">
        <v>0.6665332722315991</v>
      </c>
      <c r="R99" t="s">
        <v>779</v>
      </c>
      <c r="S99" t="s">
        <v>786</v>
      </c>
      <c r="T99">
        <v>12302.036475</v>
      </c>
      <c r="U99" s="2">
        <v>44509</v>
      </c>
      <c r="V99" t="s">
        <v>797</v>
      </c>
    </row>
    <row r="100" spans="1:22">
      <c r="A100" s="1" t="s">
        <v>120</v>
      </c>
      <c r="B100">
        <f>HYPERLINK("https://www.suredividend.com/sure-analysis-TGT/","Target Corp")</f>
        <v>0</v>
      </c>
      <c r="C100">
        <v>254.05</v>
      </c>
      <c r="D100">
        <v>234</v>
      </c>
      <c r="E100">
        <v>1.085683760683761</v>
      </c>
      <c r="F100">
        <v>0.01417043888998229</v>
      </c>
      <c r="G100">
        <v>-0.01630756469570693</v>
      </c>
      <c r="H100">
        <v>0.03</v>
      </c>
      <c r="I100">
        <v>0.02879013833901412</v>
      </c>
      <c r="J100" t="s">
        <v>775</v>
      </c>
      <c r="K100" t="s">
        <v>776</v>
      </c>
      <c r="L100">
        <v>13</v>
      </c>
      <c r="M100">
        <v>3.6</v>
      </c>
      <c r="N100">
        <v>0.2769230769230769</v>
      </c>
      <c r="O100">
        <v>54</v>
      </c>
      <c r="P100">
        <v>0.06010506010596317</v>
      </c>
      <c r="Q100">
        <v>0.665025524170472</v>
      </c>
      <c r="R100" t="s">
        <v>779</v>
      </c>
      <c r="S100" t="s">
        <v>789</v>
      </c>
      <c r="T100">
        <v>124528.044763</v>
      </c>
      <c r="U100" s="2">
        <v>44429</v>
      </c>
      <c r="V100" t="s">
        <v>798</v>
      </c>
    </row>
    <row r="101" spans="1:22">
      <c r="A101" s="1" t="s">
        <v>121</v>
      </c>
      <c r="B101">
        <f>HYPERLINK("https://www.suredividend.com/sure-analysis-CSVI/","Computer Services, Inc.")</f>
        <v>0</v>
      </c>
      <c r="C101">
        <v>53.245</v>
      </c>
      <c r="D101">
        <v>37</v>
      </c>
      <c r="E101">
        <v>1.439054054054054</v>
      </c>
      <c r="F101">
        <v>0.02028359470372805</v>
      </c>
      <c r="G101">
        <v>-0.07021062610183604</v>
      </c>
      <c r="H101">
        <v>0.08</v>
      </c>
      <c r="I101">
        <v>0.02838653533432445</v>
      </c>
      <c r="J101" t="s">
        <v>775</v>
      </c>
      <c r="K101" t="s">
        <v>776</v>
      </c>
      <c r="L101">
        <v>2.15</v>
      </c>
      <c r="M101">
        <v>1.08</v>
      </c>
      <c r="N101">
        <v>0.5023255813953489</v>
      </c>
      <c r="O101">
        <v>50</v>
      </c>
      <c r="P101">
        <v>0.08178074106640287</v>
      </c>
      <c r="Q101">
        <v>-0.09098338918086701</v>
      </c>
      <c r="R101" t="s">
        <v>779</v>
      </c>
      <c r="S101" t="s">
        <v>785</v>
      </c>
      <c r="T101">
        <v>1496.598831</v>
      </c>
      <c r="U101" s="2">
        <v>44477</v>
      </c>
      <c r="V101" t="s">
        <v>802</v>
      </c>
    </row>
    <row r="102" spans="1:22">
      <c r="A102" s="1" t="s">
        <v>122</v>
      </c>
      <c r="B102">
        <f>HYPERLINK("https://www.suredividend.com/sure-analysis-COST/","Costco Wholesale Corp")</f>
        <v>0</v>
      </c>
      <c r="C102">
        <v>505.51</v>
      </c>
      <c r="D102">
        <v>362</v>
      </c>
      <c r="E102">
        <v>1.396436464088398</v>
      </c>
      <c r="F102">
        <v>0.006251112737631304</v>
      </c>
      <c r="G102">
        <v>-0.06460344982011579</v>
      </c>
      <c r="H102">
        <v>0.09</v>
      </c>
      <c r="I102">
        <v>0.02723654834339562</v>
      </c>
      <c r="J102" t="s">
        <v>775</v>
      </c>
      <c r="K102" t="s">
        <v>514</v>
      </c>
      <c r="L102">
        <v>12.05</v>
      </c>
      <c r="M102">
        <v>3.16</v>
      </c>
      <c r="N102">
        <v>0.2622406639004149</v>
      </c>
      <c r="O102">
        <v>18</v>
      </c>
      <c r="P102">
        <v>0.1000340793951375</v>
      </c>
      <c r="Q102">
        <v>0.441146458056294</v>
      </c>
      <c r="R102" t="s">
        <v>779</v>
      </c>
      <c r="S102" t="s">
        <v>789</v>
      </c>
      <c r="T102">
        <v>224760.190894</v>
      </c>
      <c r="U102" s="2">
        <v>44465</v>
      </c>
      <c r="V102" t="s">
        <v>798</v>
      </c>
    </row>
    <row r="103" spans="1:22">
      <c r="A103" s="1" t="s">
        <v>123</v>
      </c>
      <c r="B103">
        <f>HYPERLINK("https://www.suredividend.com/sure-analysis-THFF/","First Financial Corp. - Indiana")</f>
        <v>0</v>
      </c>
      <c r="C103">
        <v>45.09</v>
      </c>
      <c r="D103">
        <v>48</v>
      </c>
      <c r="E103">
        <v>0.9393750000000001</v>
      </c>
      <c r="F103">
        <v>0.02350853847859836</v>
      </c>
      <c r="G103">
        <v>0.01258665720079666</v>
      </c>
      <c r="H103">
        <v>-0.01</v>
      </c>
      <c r="I103">
        <v>0.02603458884722443</v>
      </c>
      <c r="J103" t="s">
        <v>775</v>
      </c>
      <c r="K103" t="s">
        <v>775</v>
      </c>
      <c r="L103">
        <v>4.35</v>
      </c>
      <c r="M103">
        <v>1.06</v>
      </c>
      <c r="N103">
        <v>0.2436781609195403</v>
      </c>
      <c r="O103">
        <v>32</v>
      </c>
      <c r="P103">
        <v>0.01994322923769842</v>
      </c>
      <c r="Q103">
        <v>0.261731583060028</v>
      </c>
      <c r="R103" t="s">
        <v>779</v>
      </c>
      <c r="S103" t="s">
        <v>790</v>
      </c>
      <c r="T103">
        <v>579.880717</v>
      </c>
      <c r="U103" s="2">
        <v>44424</v>
      </c>
      <c r="V103" t="s">
        <v>798</v>
      </c>
    </row>
    <row r="104" spans="1:22">
      <c r="A104" s="1" t="s">
        <v>124</v>
      </c>
      <c r="B104">
        <f>HYPERLINK("https://www.suredividend.com/sure-analysis-WSM/","Williams-Sonoma, Inc.")</f>
        <v>0</v>
      </c>
      <c r="C104">
        <v>201.4</v>
      </c>
      <c r="D104">
        <v>192</v>
      </c>
      <c r="E104">
        <v>1.048958333333333</v>
      </c>
      <c r="F104">
        <v>0.0141012909632572</v>
      </c>
      <c r="G104">
        <v>-0.009513974675547265</v>
      </c>
      <c r="H104">
        <v>0.02</v>
      </c>
      <c r="I104">
        <v>0.02597538509605068</v>
      </c>
      <c r="J104" t="s">
        <v>775</v>
      </c>
      <c r="K104" t="s">
        <v>370</v>
      </c>
      <c r="L104">
        <v>12</v>
      </c>
      <c r="M104">
        <v>2.84</v>
      </c>
      <c r="N104">
        <v>0.2366666666666667</v>
      </c>
      <c r="O104">
        <v>15</v>
      </c>
      <c r="P104">
        <v>0.05996872493653238</v>
      </c>
      <c r="Q104">
        <v>1.312435998001668</v>
      </c>
      <c r="R104" t="s">
        <v>779</v>
      </c>
      <c r="S104" t="s">
        <v>788</v>
      </c>
      <c r="T104">
        <v>15214.447056</v>
      </c>
      <c r="U104" s="2">
        <v>44435</v>
      </c>
      <c r="V104" t="s">
        <v>799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174.75</v>
      </c>
      <c r="D105">
        <v>127</v>
      </c>
      <c r="E105">
        <v>1.375984251968504</v>
      </c>
      <c r="F105">
        <v>0.01144492131616595</v>
      </c>
      <c r="G105">
        <v>-0.06183914636945786</v>
      </c>
      <c r="H105">
        <v>0.08</v>
      </c>
      <c r="I105">
        <v>0.02550516173804529</v>
      </c>
      <c r="J105" t="s">
        <v>775</v>
      </c>
      <c r="K105" t="s">
        <v>776</v>
      </c>
      <c r="L105">
        <v>7.48</v>
      </c>
      <c r="M105">
        <v>2</v>
      </c>
      <c r="N105">
        <v>0.267379679144385</v>
      </c>
      <c r="O105">
        <v>66</v>
      </c>
      <c r="P105">
        <v>0.04978904632428516</v>
      </c>
      <c r="Q105">
        <v>0.4799470091383921</v>
      </c>
      <c r="R105" t="s">
        <v>779</v>
      </c>
      <c r="S105" t="s">
        <v>786</v>
      </c>
      <c r="T105">
        <v>25253.46829</v>
      </c>
      <c r="U105" s="2">
        <v>44488</v>
      </c>
      <c r="V105" t="s">
        <v>795</v>
      </c>
    </row>
    <row r="106" spans="1:22">
      <c r="A106" s="1" t="s">
        <v>126</v>
      </c>
      <c r="B106">
        <f>HYPERLINK("https://www.suredividend.com/sure-analysis-PSBQ/","PSB Holdings Inc (WI)")</f>
        <v>0</v>
      </c>
      <c r="C106">
        <v>26.25</v>
      </c>
      <c r="D106">
        <v>27</v>
      </c>
      <c r="E106">
        <v>0.9722222222222222</v>
      </c>
      <c r="F106">
        <v>0.01752380952380952</v>
      </c>
      <c r="G106">
        <v>0.005650077210034965</v>
      </c>
      <c r="H106">
        <v>0</v>
      </c>
      <c r="I106">
        <v>0.02484537708450629</v>
      </c>
      <c r="J106" t="s">
        <v>775</v>
      </c>
      <c r="K106" t="s">
        <v>776</v>
      </c>
      <c r="L106">
        <v>2.7</v>
      </c>
      <c r="M106">
        <v>0.46</v>
      </c>
      <c r="N106">
        <v>0.1703703703703704</v>
      </c>
      <c r="O106">
        <v>28</v>
      </c>
      <c r="P106">
        <v>0.05103901130952315</v>
      </c>
      <c r="Q106">
        <v>0.432922835058299</v>
      </c>
      <c r="R106" t="s">
        <v>779</v>
      </c>
      <c r="S106" t="s">
        <v>790</v>
      </c>
      <c r="T106">
        <v>117.580811</v>
      </c>
      <c r="U106" s="2">
        <v>44409</v>
      </c>
      <c r="V106" t="s">
        <v>798</v>
      </c>
    </row>
    <row r="107" spans="1:22">
      <c r="A107" s="1" t="s">
        <v>127</v>
      </c>
      <c r="B107">
        <f>HYPERLINK("https://www.suredividend.com/sure-analysis-MCD/","McDonald`s Corp")</f>
        <v>0</v>
      </c>
      <c r="C107">
        <v>253.13</v>
      </c>
      <c r="D107">
        <v>186</v>
      </c>
      <c r="E107">
        <v>1.360913978494624</v>
      </c>
      <c r="F107">
        <v>0.02180697665231304</v>
      </c>
      <c r="G107">
        <v>-0.05977051770110642</v>
      </c>
      <c r="H107">
        <v>0.06</v>
      </c>
      <c r="I107">
        <v>0.02176476675737282</v>
      </c>
      <c r="J107" t="s">
        <v>775</v>
      </c>
      <c r="K107" t="s">
        <v>776</v>
      </c>
      <c r="L107">
        <v>9.300000000000001</v>
      </c>
      <c r="M107">
        <v>5.52</v>
      </c>
      <c r="N107">
        <v>0.5935483870967742</v>
      </c>
      <c r="O107">
        <v>47</v>
      </c>
      <c r="P107">
        <v>0.06008593430202303</v>
      </c>
      <c r="Q107">
        <v>0.212538022293614</v>
      </c>
      <c r="R107" t="s">
        <v>779</v>
      </c>
      <c r="S107" t="s">
        <v>788</v>
      </c>
      <c r="T107">
        <v>188791.557132</v>
      </c>
      <c r="U107" s="2">
        <v>44497</v>
      </c>
      <c r="V107" t="s">
        <v>799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146.82</v>
      </c>
      <c r="D108">
        <v>118</v>
      </c>
      <c r="E108">
        <v>1.244237288135593</v>
      </c>
      <c r="F108">
        <v>0.02370249284838578</v>
      </c>
      <c r="G108">
        <v>-0.04276326339052539</v>
      </c>
      <c r="H108">
        <v>0.04</v>
      </c>
      <c r="I108">
        <v>0.02171580132883277</v>
      </c>
      <c r="J108" t="s">
        <v>775</v>
      </c>
      <c r="K108" t="s">
        <v>775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0.080120916486943</v>
      </c>
      <c r="R108" t="s">
        <v>779</v>
      </c>
      <c r="S108" t="s">
        <v>789</v>
      </c>
      <c r="T108">
        <v>351836.213404</v>
      </c>
      <c r="U108" s="2">
        <v>44488</v>
      </c>
      <c r="V108" t="s">
        <v>799</v>
      </c>
    </row>
    <row r="109" spans="1:22">
      <c r="A109" s="1" t="s">
        <v>129</v>
      </c>
      <c r="B109">
        <f>HYPERLINK("https://www.suredividend.com/sure-analysis-OZK/","Bank OZK")</f>
        <v>0</v>
      </c>
      <c r="C109">
        <v>47.08</v>
      </c>
      <c r="D109">
        <v>46</v>
      </c>
      <c r="E109">
        <v>1.023478260869565</v>
      </c>
      <c r="F109">
        <v>0.02463891248937978</v>
      </c>
      <c r="G109">
        <v>-0.004630622634598236</v>
      </c>
      <c r="H109">
        <v>0</v>
      </c>
      <c r="I109">
        <v>0.02136794031533418</v>
      </c>
      <c r="J109" t="s">
        <v>775</v>
      </c>
      <c r="K109" t="s">
        <v>776</v>
      </c>
      <c r="L109">
        <v>4.2</v>
      </c>
      <c r="M109">
        <v>1.16</v>
      </c>
      <c r="N109">
        <v>0.2761904761904762</v>
      </c>
      <c r="O109">
        <v>25</v>
      </c>
      <c r="P109">
        <v>0.02927011184548056</v>
      </c>
      <c r="Q109">
        <v>0.77355272809869</v>
      </c>
      <c r="R109" t="s">
        <v>779</v>
      </c>
      <c r="S109" t="s">
        <v>790</v>
      </c>
      <c r="T109">
        <v>5790.720941</v>
      </c>
      <c r="U109" s="2">
        <v>44493</v>
      </c>
      <c r="V109" t="s">
        <v>799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387.69</v>
      </c>
      <c r="D110">
        <v>309</v>
      </c>
      <c r="E110">
        <v>1.254660194174757</v>
      </c>
      <c r="F110">
        <v>0.006396863473393691</v>
      </c>
      <c r="G110">
        <v>-0.04435899559619749</v>
      </c>
      <c r="H110">
        <v>0.06</v>
      </c>
      <c r="I110">
        <v>0.02124433259115133</v>
      </c>
      <c r="J110" t="s">
        <v>775</v>
      </c>
      <c r="K110" t="s">
        <v>514</v>
      </c>
      <c r="L110">
        <v>11.9</v>
      </c>
      <c r="M110">
        <v>2.48</v>
      </c>
      <c r="N110">
        <v>0.2084033613445378</v>
      </c>
      <c r="O110">
        <v>12</v>
      </c>
      <c r="P110">
        <v>0.1100560807786035</v>
      </c>
      <c r="Q110">
        <v>0.4354672751515961</v>
      </c>
      <c r="R110" t="s">
        <v>779</v>
      </c>
      <c r="S110" t="s">
        <v>790</v>
      </c>
      <c r="T110">
        <v>72928.57000000001</v>
      </c>
      <c r="U110" s="2">
        <v>44409</v>
      </c>
      <c r="V110" t="s">
        <v>798</v>
      </c>
    </row>
    <row r="111" spans="1:22">
      <c r="A111" s="1" t="s">
        <v>131</v>
      </c>
      <c r="B111">
        <f>HYPERLINK("https://www.suredividend.com/sure-analysis-RPM/","RPM International, Inc.")</f>
        <v>0</v>
      </c>
      <c r="C111">
        <v>91.29000000000001</v>
      </c>
      <c r="D111">
        <v>72</v>
      </c>
      <c r="E111">
        <v>1.267916666666667</v>
      </c>
      <c r="F111">
        <v>0.01752656369810494</v>
      </c>
      <c r="G111">
        <v>-0.04636571178119719</v>
      </c>
      <c r="H111">
        <v>0.05</v>
      </c>
      <c r="I111">
        <v>0.0207639617622295</v>
      </c>
      <c r="J111" t="s">
        <v>775</v>
      </c>
      <c r="K111" t="s">
        <v>776</v>
      </c>
      <c r="L111">
        <v>4</v>
      </c>
      <c r="M111">
        <v>1.6</v>
      </c>
      <c r="N111">
        <v>0.4</v>
      </c>
      <c r="O111">
        <v>48</v>
      </c>
      <c r="P111">
        <v>0.04978904632428516</v>
      </c>
      <c r="Q111">
        <v>0.024715117636524</v>
      </c>
      <c r="R111" t="s">
        <v>779</v>
      </c>
      <c r="S111" t="s">
        <v>787</v>
      </c>
      <c r="T111">
        <v>11727.596979</v>
      </c>
      <c r="U111" s="2">
        <v>44475</v>
      </c>
      <c r="V111" t="s">
        <v>795</v>
      </c>
    </row>
    <row r="112" spans="1:22">
      <c r="A112" s="1" t="s">
        <v>132</v>
      </c>
      <c r="B112">
        <f>HYPERLINK("https://www.suredividend.com/sure-analysis-SPGI/","S&amp;P Global Inc")</f>
        <v>0</v>
      </c>
      <c r="C112">
        <v>454.21</v>
      </c>
      <c r="D112">
        <v>342</v>
      </c>
      <c r="E112">
        <v>1.328099415204678</v>
      </c>
      <c r="F112">
        <v>0.006781004381233351</v>
      </c>
      <c r="G112">
        <v>-0.05516954645187422</v>
      </c>
      <c r="H112">
        <v>0.07000000000000001</v>
      </c>
      <c r="I112">
        <v>0.02004397406224956</v>
      </c>
      <c r="J112" t="s">
        <v>775</v>
      </c>
      <c r="K112" t="s">
        <v>370</v>
      </c>
      <c r="L112">
        <v>13.15</v>
      </c>
      <c r="M112">
        <v>3.08</v>
      </c>
      <c r="N112">
        <v>0.2342205323193916</v>
      </c>
      <c r="O112">
        <v>48</v>
      </c>
      <c r="P112">
        <v>0.1200820117377759</v>
      </c>
      <c r="Q112">
        <v>0.3444643503627881</v>
      </c>
      <c r="R112" t="s">
        <v>779</v>
      </c>
      <c r="S112" t="s">
        <v>790</v>
      </c>
      <c r="T112">
        <v>111337.18</v>
      </c>
      <c r="U112" s="2">
        <v>44421</v>
      </c>
      <c r="V112" t="s">
        <v>798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193.05</v>
      </c>
      <c r="D113">
        <v>148</v>
      </c>
      <c r="E113">
        <v>1.304391891891892</v>
      </c>
      <c r="F113">
        <v>0.01657601657601658</v>
      </c>
      <c r="G113">
        <v>-0.05175975874716876</v>
      </c>
      <c r="H113">
        <v>0.05</v>
      </c>
      <c r="I113">
        <v>0.01476112942615315</v>
      </c>
      <c r="J113" t="s">
        <v>775</v>
      </c>
      <c r="K113" t="s">
        <v>776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0.341567232261946</v>
      </c>
      <c r="R113" t="s">
        <v>779</v>
      </c>
      <c r="S113" t="s">
        <v>790</v>
      </c>
      <c r="T113">
        <v>83357.05250600001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HYPERLINK("https://www.suredividend.com/sure-analysis-ITW/","Illinois Tool Works, Inc.")</f>
        <v>0</v>
      </c>
      <c r="C114">
        <v>234.71</v>
      </c>
      <c r="D114">
        <v>160</v>
      </c>
      <c r="E114">
        <v>1.4669375</v>
      </c>
      <c r="F114">
        <v>0.02079161518469601</v>
      </c>
      <c r="G114">
        <v>-0.07377248582414864</v>
      </c>
      <c r="H114">
        <v>0.07000000000000001</v>
      </c>
      <c r="I114">
        <v>0.01424070259082066</v>
      </c>
      <c r="J114" t="s">
        <v>775</v>
      </c>
      <c r="K114" t="s">
        <v>776</v>
      </c>
      <c r="L114">
        <v>8.4</v>
      </c>
      <c r="M114">
        <v>4.88</v>
      </c>
      <c r="N114">
        <v>0.5809523809523809</v>
      </c>
      <c r="O114">
        <v>58</v>
      </c>
      <c r="P114">
        <v>0.0400957567386353</v>
      </c>
      <c r="Q114">
        <v>0.12177267025081</v>
      </c>
      <c r="R114" t="s">
        <v>779</v>
      </c>
      <c r="S114" t="s">
        <v>786</v>
      </c>
      <c r="T114">
        <v>73705.47184499999</v>
      </c>
      <c r="U114" s="2">
        <v>44501</v>
      </c>
      <c r="V114" t="s">
        <v>799</v>
      </c>
    </row>
    <row r="115" spans="1:22">
      <c r="A115" s="1" t="s">
        <v>135</v>
      </c>
      <c r="B115">
        <f>HYPERLINK("https://www.suredividend.com/sure-analysis-AXP/","American Express Co.")</f>
        <v>0</v>
      </c>
      <c r="C115">
        <v>181.39</v>
      </c>
      <c r="D115">
        <v>131</v>
      </c>
      <c r="E115">
        <v>1.384656488549618</v>
      </c>
      <c r="F115">
        <v>0.00948233088924417</v>
      </c>
      <c r="G115">
        <v>-0.06301725984019069</v>
      </c>
      <c r="H115">
        <v>0.07000000000000001</v>
      </c>
      <c r="I115">
        <v>0.01419988831306696</v>
      </c>
      <c r="J115" t="s">
        <v>775</v>
      </c>
      <c r="K115" t="s">
        <v>370</v>
      </c>
      <c r="L115">
        <v>8.75</v>
      </c>
      <c r="M115">
        <v>1.72</v>
      </c>
      <c r="N115">
        <v>0.1965714285714286</v>
      </c>
      <c r="O115">
        <v>9</v>
      </c>
      <c r="P115">
        <v>0.08023542380212056</v>
      </c>
      <c r="Q115">
        <v>0.5502833624237721</v>
      </c>
      <c r="R115" t="s">
        <v>779</v>
      </c>
      <c r="S115" t="s">
        <v>790</v>
      </c>
      <c r="T115">
        <v>142886.733049</v>
      </c>
      <c r="U115" s="2">
        <v>44491</v>
      </c>
      <c r="V115" t="s">
        <v>797</v>
      </c>
    </row>
    <row r="116" spans="1:22">
      <c r="A116" s="1" t="s">
        <v>136</v>
      </c>
      <c r="B116">
        <f>HYPERLINK("https://www.suredividend.com/sure-analysis-AAPL/","Apple Inc")</f>
        <v>0</v>
      </c>
      <c r="C116">
        <v>147.92</v>
      </c>
      <c r="D116">
        <v>108</v>
      </c>
      <c r="E116">
        <v>1.36962962962963</v>
      </c>
      <c r="F116">
        <v>0.005949161709031909</v>
      </c>
      <c r="G116">
        <v>-0.06097020713918722</v>
      </c>
      <c r="H116">
        <v>0.07000000000000001</v>
      </c>
      <c r="I116">
        <v>0.01296492355432721</v>
      </c>
      <c r="J116" t="s">
        <v>775</v>
      </c>
      <c r="K116" t="s">
        <v>370</v>
      </c>
      <c r="L116">
        <v>6</v>
      </c>
      <c r="M116">
        <v>0.88</v>
      </c>
      <c r="N116">
        <v>0.1466666666666667</v>
      </c>
      <c r="O116">
        <v>9</v>
      </c>
      <c r="P116">
        <v>0.1213169452916456</v>
      </c>
      <c r="Q116">
        <v>0.30450239733996</v>
      </c>
      <c r="R116" t="s">
        <v>779</v>
      </c>
      <c r="S116" t="s">
        <v>785</v>
      </c>
      <c r="T116">
        <v>2474248.73157</v>
      </c>
      <c r="U116" s="2">
        <v>44500</v>
      </c>
      <c r="V116" t="s">
        <v>799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45.7</v>
      </c>
      <c r="D117">
        <v>33</v>
      </c>
      <c r="E117">
        <v>1.384848484848485</v>
      </c>
      <c r="F117">
        <v>0.01487964989059081</v>
      </c>
      <c r="G117">
        <v>-0.06304324206098066</v>
      </c>
      <c r="H117">
        <v>0.06</v>
      </c>
      <c r="I117">
        <v>0.01034285193327356</v>
      </c>
      <c r="J117" t="s">
        <v>775</v>
      </c>
      <c r="K117" t="s">
        <v>776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0.340005038934558</v>
      </c>
      <c r="R117" t="s">
        <v>779</v>
      </c>
      <c r="S117" t="s">
        <v>786</v>
      </c>
      <c r="T117">
        <v>1195.032514</v>
      </c>
      <c r="U117" s="2">
        <v>44499</v>
      </c>
      <c r="V117" t="s">
        <v>798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127.82</v>
      </c>
      <c r="D118">
        <v>101</v>
      </c>
      <c r="E118">
        <v>1.265544554455446</v>
      </c>
      <c r="F118">
        <v>0.01408230323892975</v>
      </c>
      <c r="G118">
        <v>-0.04600848478324615</v>
      </c>
      <c r="H118">
        <v>0.04</v>
      </c>
      <c r="I118">
        <v>0.009405547104528234</v>
      </c>
      <c r="J118" t="s">
        <v>775</v>
      </c>
      <c r="K118" t="s">
        <v>776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0.173637664086947</v>
      </c>
      <c r="R118" t="s">
        <v>779</v>
      </c>
      <c r="S118" t="s">
        <v>784</v>
      </c>
      <c r="T118">
        <v>223564.521491</v>
      </c>
      <c r="U118" s="2">
        <v>44490</v>
      </c>
      <c r="V118" t="s">
        <v>799</v>
      </c>
    </row>
    <row r="119" spans="1:22">
      <c r="A119" s="1" t="s">
        <v>139</v>
      </c>
      <c r="B119">
        <f>HYPERLINK("https://www.suredividend.com/sure-analysis-SRCE/","1st Source Corp.")</f>
        <v>0</v>
      </c>
      <c r="C119">
        <v>50.7</v>
      </c>
      <c r="D119">
        <v>60</v>
      </c>
      <c r="E119">
        <v>0.8450000000000001</v>
      </c>
      <c r="F119">
        <v>0.02445759368836292</v>
      </c>
      <c r="G119">
        <v>0.03425745072826825</v>
      </c>
      <c r="H119">
        <v>-0.05</v>
      </c>
      <c r="I119">
        <v>0.008957121016389014</v>
      </c>
      <c r="J119" t="s">
        <v>775</v>
      </c>
      <c r="K119" t="s">
        <v>775</v>
      </c>
      <c r="L119">
        <v>4.8</v>
      </c>
      <c r="M119">
        <v>1.24</v>
      </c>
      <c r="N119">
        <v>0.2583333333333334</v>
      </c>
      <c r="O119">
        <v>34</v>
      </c>
      <c r="P119">
        <v>0.02013999925026777</v>
      </c>
      <c r="Q119">
        <v>0.4157798247182971</v>
      </c>
      <c r="R119" t="s">
        <v>779</v>
      </c>
      <c r="S119" t="s">
        <v>790</v>
      </c>
      <c r="T119">
        <v>1266.81394</v>
      </c>
      <c r="U119" s="2">
        <v>44498</v>
      </c>
      <c r="V119" t="s">
        <v>798</v>
      </c>
    </row>
    <row r="120" spans="1:22">
      <c r="A120" s="1" t="s">
        <v>140</v>
      </c>
      <c r="B120">
        <f>HYPERLINK("https://www.suredividend.com/sure-analysis-TROW/","T. Rowe Price Group Inc.")</f>
        <v>0</v>
      </c>
      <c r="C120">
        <v>213.06</v>
      </c>
      <c r="D120">
        <v>179</v>
      </c>
      <c r="E120">
        <v>1.190279329608938</v>
      </c>
      <c r="F120">
        <v>0.02027597859757815</v>
      </c>
      <c r="G120">
        <v>-0.03423775868646106</v>
      </c>
      <c r="H120">
        <v>0.02</v>
      </c>
      <c r="I120">
        <v>0.0085942205349403</v>
      </c>
      <c r="J120" t="s">
        <v>775</v>
      </c>
      <c r="K120" t="s">
        <v>776</v>
      </c>
      <c r="L120">
        <v>12.74</v>
      </c>
      <c r="M120">
        <v>4.32</v>
      </c>
      <c r="N120">
        <v>0.3390894819466248</v>
      </c>
      <c r="O120">
        <v>35</v>
      </c>
      <c r="P120">
        <v>0.04563955259127317</v>
      </c>
      <c r="Q120">
        <v>0.665353802391055</v>
      </c>
      <c r="R120" t="s">
        <v>779</v>
      </c>
      <c r="S120" t="s">
        <v>790</v>
      </c>
      <c r="T120">
        <v>49368.880223</v>
      </c>
      <c r="U120" s="2">
        <v>44502</v>
      </c>
      <c r="V120" t="s">
        <v>799</v>
      </c>
    </row>
    <row r="121" spans="1:22">
      <c r="A121" s="1" t="s">
        <v>141</v>
      </c>
      <c r="B121">
        <f>HYPERLINK("https://www.suredividend.com/sure-analysis-GWW/","W.W. Grainger Inc.")</f>
        <v>0</v>
      </c>
      <c r="C121">
        <v>481.01</v>
      </c>
      <c r="D121">
        <v>356</v>
      </c>
      <c r="E121">
        <v>1.351151685393258</v>
      </c>
      <c r="F121">
        <v>0.01347165339597929</v>
      </c>
      <c r="G121">
        <v>-0.05841576486554223</v>
      </c>
      <c r="H121">
        <v>0.05</v>
      </c>
      <c r="I121">
        <v>0.004976883612023197</v>
      </c>
      <c r="J121" t="s">
        <v>775</v>
      </c>
      <c r="K121" t="s">
        <v>776</v>
      </c>
      <c r="L121">
        <v>19.75</v>
      </c>
      <c r="M121">
        <v>6.48</v>
      </c>
      <c r="N121">
        <v>0.3281012658227848</v>
      </c>
      <c r="O121">
        <v>50</v>
      </c>
      <c r="P121">
        <v>0.06020279266594519</v>
      </c>
      <c r="Q121">
        <v>0.260332198817384</v>
      </c>
      <c r="R121" t="s">
        <v>779</v>
      </c>
      <c r="S121" t="s">
        <v>786</v>
      </c>
      <c r="T121">
        <v>24839.36026</v>
      </c>
      <c r="U121" s="2">
        <v>44505</v>
      </c>
      <c r="V121" t="s">
        <v>799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168.26</v>
      </c>
      <c r="D122">
        <v>102</v>
      </c>
      <c r="E122">
        <v>1.649607843137255</v>
      </c>
      <c r="F122">
        <v>0.006537501485795793</v>
      </c>
      <c r="G122">
        <v>-0.09525986283353571</v>
      </c>
      <c r="H122">
        <v>0.1</v>
      </c>
      <c r="I122">
        <v>0.00400328524396576</v>
      </c>
      <c r="J122" t="s">
        <v>775</v>
      </c>
      <c r="K122" t="s">
        <v>370</v>
      </c>
      <c r="L122">
        <v>4.25</v>
      </c>
      <c r="M122">
        <v>1.1</v>
      </c>
      <c r="N122">
        <v>0.2588235294117647</v>
      </c>
      <c r="O122">
        <v>19</v>
      </c>
      <c r="P122">
        <v>0.09980608000232882</v>
      </c>
      <c r="Q122">
        <v>0.358391124740348</v>
      </c>
      <c r="R122" t="s">
        <v>779</v>
      </c>
      <c r="S122" t="s">
        <v>788</v>
      </c>
      <c r="T122">
        <v>272867.853381</v>
      </c>
      <c r="U122" s="2">
        <v>44464</v>
      </c>
      <c r="V122" t="s">
        <v>799</v>
      </c>
    </row>
    <row r="123" spans="1:22">
      <c r="A123" s="1" t="s">
        <v>143</v>
      </c>
      <c r="B123">
        <f>HYPERLINK("https://www.suredividend.com/sure-analysis-TSCO/","Tractor Supply Co.")</f>
        <v>0</v>
      </c>
      <c r="C123">
        <v>217.26</v>
      </c>
      <c r="D123">
        <v>152</v>
      </c>
      <c r="E123">
        <v>1.429342105263158</v>
      </c>
      <c r="F123">
        <v>0.009573782564669061</v>
      </c>
      <c r="G123">
        <v>-0.068950518573757</v>
      </c>
      <c r="H123">
        <v>0.065</v>
      </c>
      <c r="I123">
        <v>0.00367237325987424</v>
      </c>
      <c r="J123" t="s">
        <v>775</v>
      </c>
      <c r="K123" t="s">
        <v>514</v>
      </c>
      <c r="L123">
        <v>8.01</v>
      </c>
      <c r="M123">
        <v>2.08</v>
      </c>
      <c r="N123">
        <v>0.2596754057428215</v>
      </c>
      <c r="O123">
        <v>11</v>
      </c>
      <c r="P123">
        <v>0.07599829696383686</v>
      </c>
      <c r="Q123">
        <v>0.724023533397394</v>
      </c>
      <c r="R123" t="s">
        <v>779</v>
      </c>
      <c r="S123" t="s">
        <v>788</v>
      </c>
      <c r="T123">
        <v>25137.164115</v>
      </c>
      <c r="U123" s="2">
        <v>44491</v>
      </c>
      <c r="V123" t="s">
        <v>803</v>
      </c>
    </row>
    <row r="124" spans="1:22">
      <c r="A124" s="1" t="s">
        <v>144</v>
      </c>
      <c r="B124">
        <f>HYPERLINK("https://www.suredividend.com/sure-analysis-FELE/","Franklin Electric Co., Inc.")</f>
        <v>0</v>
      </c>
      <c r="C124">
        <v>94.61</v>
      </c>
      <c r="D124">
        <v>59</v>
      </c>
      <c r="E124">
        <v>1.603559322033898</v>
      </c>
      <c r="F124">
        <v>0.007398795053377021</v>
      </c>
      <c r="G124">
        <v>-0.09012235718998918</v>
      </c>
      <c r="H124">
        <v>0.09</v>
      </c>
      <c r="I124">
        <v>0.001452783632719168</v>
      </c>
      <c r="J124" t="s">
        <v>775</v>
      </c>
      <c r="K124" t="s">
        <v>370</v>
      </c>
      <c r="L124">
        <v>3.1</v>
      </c>
      <c r="M124">
        <v>0.7</v>
      </c>
      <c r="N124">
        <v>0.2258064516129032</v>
      </c>
      <c r="O124">
        <v>29</v>
      </c>
      <c r="P124">
        <v>0.08652960720047997</v>
      </c>
      <c r="Q124">
        <v>0.457546006751947</v>
      </c>
      <c r="R124" t="s">
        <v>779</v>
      </c>
      <c r="S124" t="s">
        <v>786</v>
      </c>
      <c r="T124">
        <v>4364.025535</v>
      </c>
      <c r="U124" s="2">
        <v>44496</v>
      </c>
      <c r="V124" t="s">
        <v>802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38.49</v>
      </c>
      <c r="D125">
        <v>34</v>
      </c>
      <c r="E125">
        <v>1.132058823529412</v>
      </c>
      <c r="F125">
        <v>0.03637308391790075</v>
      </c>
      <c r="G125">
        <v>-0.02450240910833801</v>
      </c>
      <c r="H125">
        <v>-0.02</v>
      </c>
      <c r="I125">
        <v>-0.001630660306857989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0.3603558509146541</v>
      </c>
      <c r="R125" t="s">
        <v>779</v>
      </c>
      <c r="S125" t="s">
        <v>790</v>
      </c>
      <c r="T125">
        <v>4951.081684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HYPERLINK("https://www.suredividend.com/sure-analysis-MSFT/","Microsoft Corporation")</f>
        <v>0</v>
      </c>
      <c r="C126">
        <v>330.8</v>
      </c>
      <c r="D126">
        <v>216</v>
      </c>
      <c r="E126">
        <v>1.531481481481481</v>
      </c>
      <c r="F126">
        <v>0.007496977025392986</v>
      </c>
      <c r="G126">
        <v>-0.08171466213148548</v>
      </c>
      <c r="H126">
        <v>0.07000000000000001</v>
      </c>
      <c r="I126">
        <v>-0.007150893807832848</v>
      </c>
      <c r="J126" t="s">
        <v>775</v>
      </c>
      <c r="K126" t="s">
        <v>370</v>
      </c>
      <c r="L126">
        <v>9</v>
      </c>
      <c r="M126">
        <v>2.48</v>
      </c>
      <c r="N126">
        <v>0.2755555555555556</v>
      </c>
      <c r="O126">
        <v>20</v>
      </c>
      <c r="P126">
        <v>0.09024056365188593</v>
      </c>
      <c r="Q126">
        <v>0.5524183207080451</v>
      </c>
      <c r="R126" t="s">
        <v>779</v>
      </c>
      <c r="S126" t="s">
        <v>785</v>
      </c>
      <c r="T126">
        <v>2522306.030162</v>
      </c>
      <c r="U126" s="2">
        <v>44497</v>
      </c>
      <c r="V126" t="s">
        <v>799</v>
      </c>
    </row>
    <row r="127" spans="1:22">
      <c r="A127" s="1" t="s">
        <v>147</v>
      </c>
      <c r="B127">
        <f>HYPERLINK("https://www.suredividend.com/sure-analysis-SJW/","SJW Group")</f>
        <v>0</v>
      </c>
      <c r="C127">
        <v>72.73</v>
      </c>
      <c r="D127">
        <v>43</v>
      </c>
      <c r="E127">
        <v>1.691395348837209</v>
      </c>
      <c r="F127">
        <v>0.01869929877629589</v>
      </c>
      <c r="G127">
        <v>-0.0997751987624188</v>
      </c>
      <c r="H127">
        <v>0.076</v>
      </c>
      <c r="I127">
        <v>-0.007208381887627846</v>
      </c>
      <c r="J127" t="s">
        <v>775</v>
      </c>
      <c r="K127" t="s">
        <v>776</v>
      </c>
      <c r="L127">
        <v>1.97</v>
      </c>
      <c r="M127">
        <v>1.36</v>
      </c>
      <c r="N127">
        <v>0.6903553299492386</v>
      </c>
      <c r="O127">
        <v>55</v>
      </c>
      <c r="P127">
        <v>0.06000153927394081</v>
      </c>
      <c r="Q127">
        <v>0.121782403156987</v>
      </c>
      <c r="R127" t="s">
        <v>779</v>
      </c>
      <c r="S127" t="s">
        <v>791</v>
      </c>
      <c r="T127">
        <v>2150.173137</v>
      </c>
      <c r="U127" s="2">
        <v>44502</v>
      </c>
      <c r="V127" t="s">
        <v>795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336.62</v>
      </c>
      <c r="D128">
        <v>222</v>
      </c>
      <c r="E128">
        <v>1.516306306306306</v>
      </c>
      <c r="F128">
        <v>0.0125958053591587</v>
      </c>
      <c r="G128">
        <v>-0.0798839385678336</v>
      </c>
      <c r="H128">
        <v>0.06</v>
      </c>
      <c r="I128">
        <v>-0.008113003346969738</v>
      </c>
      <c r="J128" t="s">
        <v>775</v>
      </c>
      <c r="K128" t="s">
        <v>370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0.334010936195023</v>
      </c>
      <c r="R128" t="s">
        <v>779</v>
      </c>
      <c r="S128" t="s">
        <v>787</v>
      </c>
      <c r="T128">
        <v>173561.283011</v>
      </c>
      <c r="U128" s="2">
        <v>44503</v>
      </c>
      <c r="V128" t="s">
        <v>797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78.44</v>
      </c>
      <c r="D129">
        <v>49</v>
      </c>
      <c r="E129">
        <v>1.600816326530612</v>
      </c>
      <c r="F129">
        <v>0.014278429372769</v>
      </c>
      <c r="G129">
        <v>-0.08981075599185206</v>
      </c>
      <c r="H129">
        <v>0.06</v>
      </c>
      <c r="I129">
        <v>-0.01513474951834182</v>
      </c>
      <c r="J129" t="s">
        <v>775</v>
      </c>
      <c r="K129" t="s">
        <v>370</v>
      </c>
      <c r="L129">
        <v>2.73</v>
      </c>
      <c r="M129">
        <v>1.12</v>
      </c>
      <c r="N129">
        <v>0.4102564102564103</v>
      </c>
      <c r="O129">
        <v>28</v>
      </c>
      <c r="P129">
        <v>0.08057069246502624</v>
      </c>
      <c r="Q129">
        <v>0.506763301670437</v>
      </c>
      <c r="R129" t="s">
        <v>779</v>
      </c>
      <c r="S129" t="s">
        <v>786</v>
      </c>
      <c r="T129">
        <v>12708.67402</v>
      </c>
      <c r="U129" s="2">
        <v>44417</v>
      </c>
      <c r="V129" t="s">
        <v>797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150.4</v>
      </c>
      <c r="D130">
        <v>103</v>
      </c>
      <c r="E130">
        <v>1.460194174757282</v>
      </c>
      <c r="F130">
        <v>0.006382978723404255</v>
      </c>
      <c r="G130">
        <v>-0.07291857916485722</v>
      </c>
      <c r="H130">
        <v>0.05</v>
      </c>
      <c r="I130">
        <v>-0.01718370850039186</v>
      </c>
      <c r="J130" t="s">
        <v>775</v>
      </c>
      <c r="K130" t="s">
        <v>514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1.210570683383026</v>
      </c>
      <c r="R130" t="s">
        <v>779</v>
      </c>
      <c r="S130" t="s">
        <v>785</v>
      </c>
      <c r="T130">
        <v>141118.695265</v>
      </c>
      <c r="U130" s="2">
        <v>44430</v>
      </c>
      <c r="V130" t="s">
        <v>798</v>
      </c>
    </row>
    <row r="131" spans="1:22">
      <c r="A131" s="1" t="s">
        <v>151</v>
      </c>
      <c r="B131">
        <f>HYPERLINK("https://www.suredividend.com/sure-analysis-CWT/","California Water Service Group")</f>
        <v>0</v>
      </c>
      <c r="C131">
        <v>62.52</v>
      </c>
      <c r="D131">
        <v>40</v>
      </c>
      <c r="E131">
        <v>1.563</v>
      </c>
      <c r="F131">
        <v>0.01471529110684581</v>
      </c>
      <c r="G131">
        <v>-0.08544841995590169</v>
      </c>
      <c r="H131">
        <v>0.05</v>
      </c>
      <c r="I131">
        <v>-0.01988842591587159</v>
      </c>
      <c r="J131" t="s">
        <v>775</v>
      </c>
      <c r="K131" t="s">
        <v>776</v>
      </c>
      <c r="L131">
        <v>2.02</v>
      </c>
      <c r="M131">
        <v>0.92</v>
      </c>
      <c r="N131">
        <v>0.4554455445544555</v>
      </c>
      <c r="O131">
        <v>53</v>
      </c>
      <c r="P131">
        <v>0.05979888147511248</v>
      </c>
      <c r="Q131">
        <v>0.250438706442717</v>
      </c>
      <c r="R131" t="s">
        <v>779</v>
      </c>
      <c r="S131" t="s">
        <v>791</v>
      </c>
      <c r="T131">
        <v>3280.1088</v>
      </c>
      <c r="U131" s="2">
        <v>44504</v>
      </c>
      <c r="V131" t="s">
        <v>797</v>
      </c>
    </row>
    <row r="132" spans="1:22">
      <c r="A132" s="1" t="s">
        <v>152</v>
      </c>
      <c r="B132">
        <f>HYPERLINK("https://www.suredividend.com/sure-analysis-MGEE/","MGE Energy, Inc.")</f>
        <v>0</v>
      </c>
      <c r="C132">
        <v>78.97</v>
      </c>
      <c r="D132">
        <v>52.2</v>
      </c>
      <c r="E132">
        <v>1.512835249042146</v>
      </c>
      <c r="F132">
        <v>0.01962770672407243</v>
      </c>
      <c r="G132">
        <v>-0.07946210169652612</v>
      </c>
      <c r="H132">
        <v>0.038</v>
      </c>
      <c r="I132">
        <v>-0.02014938923611209</v>
      </c>
      <c r="J132" t="s">
        <v>775</v>
      </c>
      <c r="K132" t="s">
        <v>776</v>
      </c>
      <c r="L132">
        <v>2.9</v>
      </c>
      <c r="M132">
        <v>1.55</v>
      </c>
      <c r="N132">
        <v>0.5344827586206897</v>
      </c>
      <c r="O132">
        <v>46</v>
      </c>
      <c r="P132">
        <v>0.02805810383354745</v>
      </c>
      <c r="Q132">
        <v>0.135491188274297</v>
      </c>
      <c r="R132" t="s">
        <v>779</v>
      </c>
      <c r="S132" t="s">
        <v>791</v>
      </c>
      <c r="T132">
        <v>2823.997563</v>
      </c>
      <c r="U132" s="2">
        <v>44420</v>
      </c>
      <c r="V132" t="s">
        <v>803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129.58</v>
      </c>
      <c r="D133">
        <v>77</v>
      </c>
      <c r="E133">
        <v>1.682857142857143</v>
      </c>
      <c r="F133">
        <v>0.01157586047229511</v>
      </c>
      <c r="G133">
        <v>-0.0988635642693193</v>
      </c>
      <c r="H133">
        <v>0.07000000000000001</v>
      </c>
      <c r="I133">
        <v>-0.02074269187752986</v>
      </c>
      <c r="J133" t="s">
        <v>775</v>
      </c>
      <c r="K133" t="s">
        <v>370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0.07009289023585301</v>
      </c>
      <c r="R133" t="s">
        <v>779</v>
      </c>
      <c r="S133" t="s">
        <v>788</v>
      </c>
      <c r="T133">
        <v>8581.221538</v>
      </c>
      <c r="U133" s="2">
        <v>44507</v>
      </c>
      <c r="V133" t="s">
        <v>796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83.78</v>
      </c>
      <c r="D134">
        <v>77</v>
      </c>
      <c r="E134">
        <v>1.088051948051948</v>
      </c>
      <c r="F134">
        <v>0.02721413225113392</v>
      </c>
      <c r="G134">
        <v>-0.01673614695493342</v>
      </c>
      <c r="H134">
        <v>-0.04</v>
      </c>
      <c r="I134">
        <v>-0.02126598637549393</v>
      </c>
      <c r="J134" t="s">
        <v>775</v>
      </c>
      <c r="K134" t="s">
        <v>775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0.361476237805164</v>
      </c>
      <c r="R134" t="s">
        <v>779</v>
      </c>
      <c r="S134" t="s">
        <v>790</v>
      </c>
      <c r="T134">
        <v>1230.932604</v>
      </c>
      <c r="U134" s="2">
        <v>44499</v>
      </c>
      <c r="V134" t="s">
        <v>798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433.91</v>
      </c>
      <c r="D135">
        <v>271</v>
      </c>
      <c r="E135">
        <v>1.601143911439114</v>
      </c>
      <c r="F135">
        <v>0.008757576455947085</v>
      </c>
      <c r="G135">
        <v>-0.08984800294537909</v>
      </c>
      <c r="H135">
        <v>0.06</v>
      </c>
      <c r="I135">
        <v>-0.02202807099983817</v>
      </c>
      <c r="J135" t="s">
        <v>775</v>
      </c>
      <c r="K135" t="s">
        <v>370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0.210366353615891</v>
      </c>
      <c r="R135" t="s">
        <v>779</v>
      </c>
      <c r="S135" t="s">
        <v>786</v>
      </c>
      <c r="T135">
        <v>45183.961307</v>
      </c>
      <c r="U135" s="2">
        <v>44491</v>
      </c>
      <c r="V135" t="s">
        <v>798</v>
      </c>
    </row>
    <row r="136" spans="1:22">
      <c r="A136" s="1" t="s">
        <v>156</v>
      </c>
      <c r="B136">
        <f>HYPERLINK("https://www.suredividend.com/sure-analysis-ECL/","Ecolab, Inc.")</f>
        <v>0</v>
      </c>
      <c r="C136">
        <v>233.38</v>
      </c>
      <c r="D136">
        <v>106</v>
      </c>
      <c r="E136">
        <v>2.201698113207547</v>
      </c>
      <c r="F136">
        <v>0.008226926043362755</v>
      </c>
      <c r="G136">
        <v>-0.1460185326746164</v>
      </c>
      <c r="H136">
        <v>0.13</v>
      </c>
      <c r="I136">
        <v>-0.02281366502529425</v>
      </c>
      <c r="J136" t="s">
        <v>775</v>
      </c>
      <c r="K136" t="s">
        <v>370</v>
      </c>
      <c r="L136">
        <v>5.3</v>
      </c>
      <c r="M136">
        <v>1.92</v>
      </c>
      <c r="N136">
        <v>0.3622641509433962</v>
      </c>
      <c r="O136">
        <v>35</v>
      </c>
      <c r="P136">
        <v>0.09336207394327811</v>
      </c>
      <c r="Q136">
        <v>0.074164063619163</v>
      </c>
      <c r="R136" t="s">
        <v>779</v>
      </c>
      <c r="S136" t="s">
        <v>787</v>
      </c>
      <c r="T136">
        <v>66182.719552</v>
      </c>
      <c r="U136" s="2">
        <v>44496</v>
      </c>
      <c r="V136" t="s">
        <v>802</v>
      </c>
    </row>
    <row r="137" spans="1:22">
      <c r="A137" s="1" t="s">
        <v>157</v>
      </c>
      <c r="B137">
        <f>HYPERLINK("https://www.suredividend.com/sure-analysis-SHW/","Sherwin-Williams Co.")</f>
        <v>0</v>
      </c>
      <c r="C137">
        <v>324.61</v>
      </c>
      <c r="D137">
        <v>186</v>
      </c>
      <c r="E137">
        <v>1.745215053763441</v>
      </c>
      <c r="F137">
        <v>0.006777363605557438</v>
      </c>
      <c r="G137">
        <v>-0.1053972890220722</v>
      </c>
      <c r="H137">
        <v>0.08</v>
      </c>
      <c r="I137">
        <v>-0.0230014457737715</v>
      </c>
      <c r="J137" t="s">
        <v>775</v>
      </c>
      <c r="K137" t="s">
        <v>370</v>
      </c>
      <c r="L137">
        <v>8.449999999999999</v>
      </c>
      <c r="M137">
        <v>2.2</v>
      </c>
      <c r="N137">
        <v>0.2603550295857989</v>
      </c>
      <c r="O137">
        <v>43</v>
      </c>
      <c r="P137">
        <v>0.1201645102296289</v>
      </c>
      <c r="Q137">
        <v>0.418785321865712</v>
      </c>
      <c r="R137" t="s">
        <v>779</v>
      </c>
      <c r="S137" t="s">
        <v>787</v>
      </c>
      <c r="T137">
        <v>84964.677314</v>
      </c>
      <c r="U137" s="2">
        <v>44495</v>
      </c>
      <c r="V137" t="s">
        <v>799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153.78</v>
      </c>
      <c r="D138">
        <v>92</v>
      </c>
      <c r="E138">
        <v>1.671521739130435</v>
      </c>
      <c r="F138">
        <v>0.01144492131616595</v>
      </c>
      <c r="G138">
        <v>-0.09764465711223425</v>
      </c>
      <c r="H138">
        <v>0.06</v>
      </c>
      <c r="I138">
        <v>-0.02719264099792607</v>
      </c>
      <c r="J138" t="s">
        <v>775</v>
      </c>
      <c r="K138" t="s">
        <v>370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0.108541178807317</v>
      </c>
      <c r="R138" t="s">
        <v>779</v>
      </c>
      <c r="S138" t="s">
        <v>786</v>
      </c>
      <c r="T138">
        <v>6039.50959</v>
      </c>
      <c r="U138" s="2">
        <v>44504</v>
      </c>
      <c r="V138" t="s">
        <v>799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72.61</v>
      </c>
      <c r="D139">
        <v>42</v>
      </c>
      <c r="E139">
        <v>1.728809523809524</v>
      </c>
      <c r="F139">
        <v>0.009915989533122159</v>
      </c>
      <c r="G139">
        <v>-0.1037058316699803</v>
      </c>
      <c r="H139">
        <v>0.07000000000000001</v>
      </c>
      <c r="I139">
        <v>-0.02737915878247899</v>
      </c>
      <c r="J139" t="s">
        <v>775</v>
      </c>
      <c r="K139" t="s">
        <v>370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-0.04913294039571801</v>
      </c>
      <c r="R139" t="s">
        <v>779</v>
      </c>
      <c r="S139" t="s">
        <v>789</v>
      </c>
      <c r="T139">
        <v>33791.643663</v>
      </c>
      <c r="U139" s="2">
        <v>44453</v>
      </c>
      <c r="V139" t="s">
        <v>797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263.77</v>
      </c>
      <c r="D140">
        <v>165</v>
      </c>
      <c r="E140">
        <v>1.598606060606061</v>
      </c>
      <c r="F140">
        <v>0.007734010691132427</v>
      </c>
      <c r="G140">
        <v>-0.08955920576419341</v>
      </c>
      <c r="H140">
        <v>0.05</v>
      </c>
      <c r="I140">
        <v>-0.0325741009243764</v>
      </c>
      <c r="J140" t="s">
        <v>775</v>
      </c>
      <c r="K140" t="s">
        <v>370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0.313936673199289</v>
      </c>
      <c r="R140" t="s">
        <v>779</v>
      </c>
      <c r="S140" t="s">
        <v>786</v>
      </c>
      <c r="T140">
        <v>15281.221711</v>
      </c>
      <c r="U140" s="2">
        <v>44439</v>
      </c>
      <c r="V140" t="s">
        <v>799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73.23</v>
      </c>
      <c r="D141">
        <v>47.5</v>
      </c>
      <c r="E141">
        <v>1.541684210526316</v>
      </c>
      <c r="F141">
        <v>0.009832036050798852</v>
      </c>
      <c r="G141">
        <v>-0.08293331854497865</v>
      </c>
      <c r="H141">
        <v>0.037</v>
      </c>
      <c r="I141">
        <v>-0.03447456631342494</v>
      </c>
      <c r="J141" t="s">
        <v>775</v>
      </c>
      <c r="K141" t="s">
        <v>514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0.5485470332426731</v>
      </c>
      <c r="R141" t="s">
        <v>779</v>
      </c>
      <c r="S141" t="s">
        <v>788</v>
      </c>
      <c r="T141">
        <v>48078.127338</v>
      </c>
      <c r="U141" s="2">
        <v>44504</v>
      </c>
      <c r="V141" t="s">
        <v>803</v>
      </c>
    </row>
    <row r="142" spans="1:22">
      <c r="A142" s="1" t="s">
        <v>162</v>
      </c>
      <c r="B142">
        <f>HYPERLINK("https://www.suredividend.com/sure-analysis-WST/","West Pharmaceutical Services, Inc.")</f>
        <v>0</v>
      </c>
      <c r="C142">
        <v>409.48</v>
      </c>
      <c r="D142">
        <v>211</v>
      </c>
      <c r="E142">
        <v>1.940663507109005</v>
      </c>
      <c r="F142">
        <v>0.001758327635049331</v>
      </c>
      <c r="G142">
        <v>-0.1241898941733042</v>
      </c>
      <c r="H142">
        <v>0.09</v>
      </c>
      <c r="I142">
        <v>-0.04285585504519474</v>
      </c>
      <c r="J142" t="s">
        <v>775</v>
      </c>
      <c r="K142" t="s">
        <v>370</v>
      </c>
      <c r="L142">
        <v>8.449999999999999</v>
      </c>
      <c r="M142">
        <v>0.72</v>
      </c>
      <c r="N142">
        <v>0.08520710059171598</v>
      </c>
      <c r="O142">
        <v>28</v>
      </c>
      <c r="P142">
        <v>0.05922384104881218</v>
      </c>
      <c r="Q142">
        <v>0.447277691317557</v>
      </c>
      <c r="R142" t="s">
        <v>779</v>
      </c>
      <c r="S142" t="s">
        <v>784</v>
      </c>
      <c r="T142">
        <v>30677.150779</v>
      </c>
      <c r="U142" s="2">
        <v>44502</v>
      </c>
      <c r="V142" t="s">
        <v>797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216.58</v>
      </c>
      <c r="D143">
        <v>92</v>
      </c>
      <c r="E143">
        <v>2.354130434782609</v>
      </c>
      <c r="F143">
        <v>0.00461723150798781</v>
      </c>
      <c r="G143">
        <v>-0.1573758625287973</v>
      </c>
      <c r="H143">
        <v>0.12</v>
      </c>
      <c r="I143">
        <v>-0.04740627287707166</v>
      </c>
      <c r="J143" t="s">
        <v>775</v>
      </c>
      <c r="K143" t="s">
        <v>514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0.338322314345913</v>
      </c>
      <c r="R143" t="s">
        <v>779</v>
      </c>
      <c r="S143" t="s">
        <v>784</v>
      </c>
      <c r="T143">
        <v>104191.768521</v>
      </c>
      <c r="U143" s="2">
        <v>44509</v>
      </c>
      <c r="V143" t="s">
        <v>805</v>
      </c>
    </row>
    <row r="144" spans="1:22">
      <c r="A144" s="1" t="s">
        <v>164</v>
      </c>
      <c r="B144">
        <f>HYPERLINK("https://www.suredividend.com/sure-analysis-AWR/","American States Water Co.")</f>
        <v>0</v>
      </c>
      <c r="C144">
        <v>93.64</v>
      </c>
      <c r="D144">
        <v>60.8</v>
      </c>
      <c r="E144">
        <v>1.540131578947368</v>
      </c>
      <c r="F144">
        <v>0.01559162750961128</v>
      </c>
      <c r="G144">
        <v>-0.08274849110725702</v>
      </c>
      <c r="H144">
        <v>0.015</v>
      </c>
      <c r="I144">
        <v>-0.04802347749334057</v>
      </c>
      <c r="J144" t="s">
        <v>775</v>
      </c>
      <c r="K144" t="s">
        <v>776</v>
      </c>
      <c r="L144">
        <v>2.43</v>
      </c>
      <c r="M144">
        <v>1.46</v>
      </c>
      <c r="N144">
        <v>0.6008230452674896</v>
      </c>
      <c r="O144">
        <v>66</v>
      </c>
      <c r="P144">
        <v>0.01848215809402909</v>
      </c>
      <c r="Q144">
        <v>0.256417804833913</v>
      </c>
      <c r="R144" t="s">
        <v>779</v>
      </c>
      <c r="S144" t="s">
        <v>791</v>
      </c>
      <c r="T144">
        <v>3436.131974</v>
      </c>
      <c r="U144" s="2">
        <v>44506</v>
      </c>
      <c r="V144" t="s">
        <v>803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312.22</v>
      </c>
      <c r="D145">
        <v>168</v>
      </c>
      <c r="E145">
        <v>1.858452380952381</v>
      </c>
      <c r="F145">
        <v>0.004035615911857023</v>
      </c>
      <c r="G145">
        <v>-0.1165749444819255</v>
      </c>
      <c r="H145">
        <v>0.07000000000000001</v>
      </c>
      <c r="I145">
        <v>-0.04841789719824863</v>
      </c>
      <c r="J145" t="s">
        <v>775</v>
      </c>
      <c r="K145" t="s">
        <v>514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0.4688149228245</v>
      </c>
      <c r="R145" t="s">
        <v>779</v>
      </c>
      <c r="S145" t="s">
        <v>790</v>
      </c>
      <c r="T145">
        <v>13448.810501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111.01</v>
      </c>
      <c r="D146">
        <v>67</v>
      </c>
      <c r="E146">
        <v>1.656865671641791</v>
      </c>
      <c r="F146">
        <v>0.009008197459688316</v>
      </c>
      <c r="G146">
        <v>-0.09605389035433198</v>
      </c>
      <c r="H146">
        <v>0.03</v>
      </c>
      <c r="I146">
        <v>-0.05539995309694612</v>
      </c>
      <c r="J146" t="s">
        <v>775</v>
      </c>
      <c r="K146" t="s">
        <v>370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0.140624552766408</v>
      </c>
      <c r="R146" t="s">
        <v>779</v>
      </c>
      <c r="S146" t="s">
        <v>790</v>
      </c>
      <c r="T146">
        <v>5048.381868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110.36</v>
      </c>
      <c r="D147">
        <v>60</v>
      </c>
      <c r="E147">
        <v>1.839333333333333</v>
      </c>
      <c r="F147">
        <v>0.01467923160565422</v>
      </c>
      <c r="G147">
        <v>-0.1147459716034097</v>
      </c>
      <c r="H147">
        <v>0.037</v>
      </c>
      <c r="I147">
        <v>-0.06095098866511128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1.281850834565814</v>
      </c>
      <c r="R147" t="s">
        <v>779</v>
      </c>
      <c r="S147" t="s">
        <v>787</v>
      </c>
      <c r="T147">
        <v>33304.960156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60.4</v>
      </c>
      <c r="D148">
        <v>26</v>
      </c>
      <c r="E148">
        <v>2.323076923076923</v>
      </c>
      <c r="F148">
        <v>0.008609271523178809</v>
      </c>
      <c r="G148">
        <v>-0.1551350723895231</v>
      </c>
      <c r="H148">
        <v>0.07000000000000001</v>
      </c>
      <c r="I148">
        <v>-0.08103559762703061</v>
      </c>
      <c r="J148" t="s">
        <v>775</v>
      </c>
      <c r="K148" t="s">
        <v>514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0.7416377008000811</v>
      </c>
      <c r="R148" t="s">
        <v>779</v>
      </c>
      <c r="S148" t="s">
        <v>790</v>
      </c>
      <c r="T148">
        <v>100765.926421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109.11</v>
      </c>
      <c r="D149">
        <v>51</v>
      </c>
      <c r="E149">
        <v>2.139411764705882</v>
      </c>
      <c r="F149">
        <v>0.007332050224544038</v>
      </c>
      <c r="G149">
        <v>-0.1411029243593426</v>
      </c>
      <c r="H149">
        <v>0.05</v>
      </c>
      <c r="I149">
        <v>-0.08400599707269651</v>
      </c>
      <c r="J149" t="s">
        <v>775</v>
      </c>
      <c r="K149" t="s">
        <v>514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0.468648210101701</v>
      </c>
      <c r="R149" t="s">
        <v>779</v>
      </c>
      <c r="S149" t="s">
        <v>786</v>
      </c>
      <c r="T149">
        <v>3213.973298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105.54</v>
      </c>
      <c r="D150">
        <v>48.6</v>
      </c>
      <c r="E150">
        <v>2.171604938271605</v>
      </c>
      <c r="F150">
        <v>0.01099109342429411</v>
      </c>
      <c r="G150">
        <v>-0.143664721823433</v>
      </c>
      <c r="H150">
        <v>0.045</v>
      </c>
      <c r="I150">
        <v>-0.08828336435115436</v>
      </c>
      <c r="J150" t="s">
        <v>775</v>
      </c>
      <c r="K150" t="s">
        <v>370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0.521748444640121</v>
      </c>
      <c r="R150" t="s">
        <v>779</v>
      </c>
      <c r="S150" t="s">
        <v>791</v>
      </c>
      <c r="T150">
        <v>1802.192545</v>
      </c>
      <c r="U150" s="2">
        <v>44506</v>
      </c>
      <c r="V150" t="s">
        <v>803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265.75</v>
      </c>
      <c r="D151">
        <v>97</v>
      </c>
      <c r="E151">
        <v>2.739690721649485</v>
      </c>
      <c r="F151">
        <v>0.005870178739416745</v>
      </c>
      <c r="G151">
        <v>-0.1825528345708246</v>
      </c>
      <c r="H151">
        <v>0.1</v>
      </c>
      <c r="I151">
        <v>-0.08938772726183064</v>
      </c>
      <c r="J151" t="s">
        <v>775</v>
      </c>
      <c r="K151" t="s">
        <v>514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1.373862868071082</v>
      </c>
      <c r="R151" t="s">
        <v>779</v>
      </c>
      <c r="S151" t="s">
        <v>787</v>
      </c>
      <c r="T151">
        <v>32118.187633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217.84</v>
      </c>
      <c r="D152">
        <v>265</v>
      </c>
      <c r="E152">
        <v>0.8220377358490566</v>
      </c>
      <c r="F152">
        <v>0.01836210062431142</v>
      </c>
      <c r="G152">
        <v>0.03997200604246398</v>
      </c>
      <c r="H152">
        <v>0.15</v>
      </c>
      <c r="I152">
        <v>0.2048112580495063</v>
      </c>
      <c r="J152" t="s">
        <v>776</v>
      </c>
      <c r="K152" t="s">
        <v>370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0.032113431271127</v>
      </c>
      <c r="R152" t="s">
        <v>779</v>
      </c>
      <c r="S152" t="s">
        <v>790</v>
      </c>
      <c r="T152">
        <v>71654.684955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14.5</v>
      </c>
      <c r="D153">
        <v>19.2</v>
      </c>
      <c r="E153">
        <v>0.7552083333333334</v>
      </c>
      <c r="F153">
        <v>0.04551724137931035</v>
      </c>
      <c r="G153">
        <v>0.05775879554874175</v>
      </c>
      <c r="H153">
        <v>0.07000000000000001</v>
      </c>
      <c r="I153">
        <v>0.1641378970195444</v>
      </c>
      <c r="J153" t="s">
        <v>776</v>
      </c>
      <c r="K153" t="s">
        <v>775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-0.3479241877256311</v>
      </c>
      <c r="R153" t="s">
        <v>779</v>
      </c>
      <c r="S153" t="s">
        <v>790</v>
      </c>
      <c r="T153">
        <v>53808.743189</v>
      </c>
      <c r="U153" s="2">
        <v>44439</v>
      </c>
      <c r="V153" t="s">
        <v>794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24.95</v>
      </c>
      <c r="D154">
        <v>36</v>
      </c>
      <c r="E154">
        <v>0.6930555555555555</v>
      </c>
      <c r="F154">
        <v>0.08336673346693388</v>
      </c>
      <c r="G154">
        <v>0.07608453550762029</v>
      </c>
      <c r="H154">
        <v>0.03</v>
      </c>
      <c r="I154">
        <v>0.1614264622020105</v>
      </c>
      <c r="J154" t="s">
        <v>776</v>
      </c>
      <c r="K154" t="s">
        <v>775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-0.078669197126014</v>
      </c>
      <c r="R154" t="s">
        <v>779</v>
      </c>
      <c r="S154" t="s">
        <v>783</v>
      </c>
      <c r="T154">
        <v>176429.4</v>
      </c>
      <c r="U154" s="2">
        <v>44490</v>
      </c>
      <c r="V154" t="s">
        <v>799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318.47</v>
      </c>
      <c r="D155">
        <v>413</v>
      </c>
      <c r="E155">
        <v>0.7711138014527845</v>
      </c>
      <c r="F155">
        <v>0.004396018463277545</v>
      </c>
      <c r="G155">
        <v>0.05335874409607877</v>
      </c>
      <c r="H155">
        <v>0.08</v>
      </c>
      <c r="I155">
        <v>0.141126279194369</v>
      </c>
      <c r="J155" t="s">
        <v>776</v>
      </c>
      <c r="K155" t="s">
        <v>514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0.265278357360371</v>
      </c>
      <c r="R155" t="s">
        <v>779</v>
      </c>
      <c r="S155" t="s">
        <v>788</v>
      </c>
      <c r="T155">
        <v>9878.706776000001</v>
      </c>
      <c r="U155" s="2">
        <v>44493</v>
      </c>
      <c r="V155" t="s">
        <v>801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52.6</v>
      </c>
      <c r="D156">
        <v>70</v>
      </c>
      <c r="E156">
        <v>0.7514285714285714</v>
      </c>
      <c r="F156">
        <v>0.04866920152091254</v>
      </c>
      <c r="G156">
        <v>0.05882078772010413</v>
      </c>
      <c r="H156">
        <v>0.04</v>
      </c>
      <c r="I156">
        <v>0.1342880473421824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-0.07813445754812701</v>
      </c>
      <c r="R156" t="s">
        <v>779</v>
      </c>
      <c r="S156" t="s">
        <v>783</v>
      </c>
      <c r="T156">
        <v>216282.161927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54.17</v>
      </c>
      <c r="D157">
        <v>61</v>
      </c>
      <c r="E157">
        <v>0.8880327868852459</v>
      </c>
      <c r="F157">
        <v>0.01846040243677312</v>
      </c>
      <c r="G157">
        <v>0.0240335839448973</v>
      </c>
      <c r="H157">
        <v>0.09</v>
      </c>
      <c r="I157">
        <v>0.1313066769887457</v>
      </c>
      <c r="J157" t="s">
        <v>776</v>
      </c>
      <c r="K157" t="s">
        <v>370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0.15479395253206</v>
      </c>
      <c r="R157" t="s">
        <v>779</v>
      </c>
      <c r="S157" t="s">
        <v>783</v>
      </c>
      <c r="T157">
        <v>245071.978513</v>
      </c>
      <c r="U157" s="2">
        <v>44506</v>
      </c>
      <c r="V157" t="s">
        <v>804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47.24</v>
      </c>
      <c r="D158">
        <v>60</v>
      </c>
      <c r="E158">
        <v>0.7873333333333333</v>
      </c>
      <c r="F158">
        <v>0.03979678238780694</v>
      </c>
      <c r="G158">
        <v>0.04898257076268053</v>
      </c>
      <c r="H158">
        <v>0.05</v>
      </c>
      <c r="I158">
        <v>0.1303579070951713</v>
      </c>
      <c r="J158" t="s">
        <v>776</v>
      </c>
      <c r="K158" t="s">
        <v>775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0.340523664230469</v>
      </c>
      <c r="R158" t="s">
        <v>780</v>
      </c>
      <c r="S158" t="s">
        <v>790</v>
      </c>
      <c r="T158">
        <v>5325.942478</v>
      </c>
      <c r="U158" s="2">
        <v>44508</v>
      </c>
      <c r="V158" t="s">
        <v>800</v>
      </c>
    </row>
    <row r="159" spans="1:22">
      <c r="A159" s="1" t="s">
        <v>179</v>
      </c>
      <c r="B159">
        <f>HYPERLINK("https://www.suredividend.com/sure-analysis-AMGN/","AMGEN Inc.")</f>
        <v>0</v>
      </c>
      <c r="C159">
        <v>213.21</v>
      </c>
      <c r="D159">
        <v>225</v>
      </c>
      <c r="E159">
        <v>0.9476</v>
      </c>
      <c r="F159">
        <v>0.03301908916092116</v>
      </c>
      <c r="G159">
        <v>0.0108227076825822</v>
      </c>
      <c r="H159">
        <v>0.09</v>
      </c>
      <c r="I159">
        <v>0.1295877228508158</v>
      </c>
      <c r="J159" t="s">
        <v>776</v>
      </c>
      <c r="K159" t="s">
        <v>776</v>
      </c>
      <c r="L159">
        <v>16.8</v>
      </c>
      <c r="M159">
        <v>7.04</v>
      </c>
      <c r="N159">
        <v>0.4190476190476191</v>
      </c>
      <c r="O159">
        <v>10</v>
      </c>
      <c r="P159">
        <v>0.08996150398082237</v>
      </c>
      <c r="Q159">
        <v>-0.072711815336017</v>
      </c>
      <c r="R159" t="s">
        <v>779</v>
      </c>
      <c r="S159" t="s">
        <v>784</v>
      </c>
      <c r="T159">
        <v>119249.024112</v>
      </c>
      <c r="U159" s="2">
        <v>44503</v>
      </c>
      <c r="V159" t="s">
        <v>795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32.0936</v>
      </c>
      <c r="D160">
        <v>59</v>
      </c>
      <c r="E160">
        <v>0.5439593220338983</v>
      </c>
      <c r="F160">
        <v>0.02461549966348431</v>
      </c>
      <c r="G160">
        <v>0.1295012483162761</v>
      </c>
      <c r="H160">
        <v>-0.02</v>
      </c>
      <c r="I160">
        <v>0.1253344631130466</v>
      </c>
      <c r="J160" t="s">
        <v>776</v>
      </c>
      <c r="K160" t="s">
        <v>776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0.563405023026159</v>
      </c>
      <c r="R160" t="s">
        <v>779</v>
      </c>
      <c r="S160" t="s">
        <v>792</v>
      </c>
      <c r="T160">
        <v>184.643417</v>
      </c>
      <c r="U160" s="2">
        <v>44506</v>
      </c>
      <c r="V160" t="s">
        <v>795</v>
      </c>
    </row>
    <row r="161" spans="1:22">
      <c r="A161" s="1" t="s">
        <v>181</v>
      </c>
      <c r="B161">
        <f>HYPERLINK("https://www.suredividend.com/sure-analysis-IPG/","Interpublic Group Of Cos., Inc.")</f>
        <v>0</v>
      </c>
      <c r="C161">
        <v>36.09</v>
      </c>
      <c r="D161">
        <v>41</v>
      </c>
      <c r="E161">
        <v>0.8802439024390245</v>
      </c>
      <c r="F161">
        <v>0.02992518703241895</v>
      </c>
      <c r="G161">
        <v>0.02583944649914871</v>
      </c>
      <c r="H161">
        <v>0.07000000000000001</v>
      </c>
      <c r="I161">
        <v>0.1215852108360038</v>
      </c>
      <c r="J161" t="s">
        <v>776</v>
      </c>
      <c r="K161" t="s">
        <v>776</v>
      </c>
      <c r="L161">
        <v>2.58</v>
      </c>
      <c r="M161">
        <v>1.08</v>
      </c>
      <c r="N161">
        <v>0.4186046511627907</v>
      </c>
      <c r="O161">
        <v>10</v>
      </c>
      <c r="P161">
        <v>0.06504410274056371</v>
      </c>
      <c r="Q161">
        <v>0.7728594554964541</v>
      </c>
      <c r="R161" t="s">
        <v>779</v>
      </c>
      <c r="S161" t="s">
        <v>783</v>
      </c>
      <c r="T161">
        <v>14187.002018</v>
      </c>
      <c r="U161" s="2">
        <v>44494</v>
      </c>
      <c r="V161" t="s">
        <v>794</v>
      </c>
    </row>
    <row r="162" spans="1:22">
      <c r="A162" s="1" t="s">
        <v>182</v>
      </c>
      <c r="B162">
        <f>HYPERLINK("https://www.suredividend.com/sure-analysis-WU/","Western Union Company")</f>
        <v>0</v>
      </c>
      <c r="C162">
        <v>18.55</v>
      </c>
      <c r="D162">
        <v>25</v>
      </c>
      <c r="E162">
        <v>0.742</v>
      </c>
      <c r="F162">
        <v>0.05067385444743935</v>
      </c>
      <c r="G162">
        <v>0.06149809461109701</v>
      </c>
      <c r="H162">
        <v>0.02</v>
      </c>
      <c r="I162">
        <v>0.1213340408353283</v>
      </c>
      <c r="J162" t="s">
        <v>776</v>
      </c>
      <c r="K162" t="s">
        <v>775</v>
      </c>
      <c r="L162">
        <v>2.05</v>
      </c>
      <c r="M162">
        <v>0.9399999999999999</v>
      </c>
      <c r="N162">
        <v>0.4585365853658537</v>
      </c>
      <c r="O162">
        <v>7</v>
      </c>
      <c r="P162">
        <v>0.03933463380769542</v>
      </c>
      <c r="Q162">
        <v>-0.123816181003558</v>
      </c>
      <c r="R162" t="s">
        <v>779</v>
      </c>
      <c r="S162" t="s">
        <v>790</v>
      </c>
      <c r="T162">
        <v>7256.219996</v>
      </c>
      <c r="U162" s="2">
        <v>44425</v>
      </c>
      <c r="V162" t="s">
        <v>800</v>
      </c>
    </row>
    <row r="163" spans="1:22">
      <c r="A163" s="1" t="s">
        <v>183</v>
      </c>
      <c r="B163">
        <f>HYPERLINK("https://www.suredividend.com/sure-analysis-OMC/","Omnicom Group, Inc.")</f>
        <v>0</v>
      </c>
      <c r="C163">
        <v>69.19</v>
      </c>
      <c r="D163">
        <v>87</v>
      </c>
      <c r="E163">
        <v>0.795287356321839</v>
      </c>
      <c r="F163">
        <v>0.04046827576239341</v>
      </c>
      <c r="G163">
        <v>0.04687585738833655</v>
      </c>
      <c r="H163">
        <v>0.04</v>
      </c>
      <c r="I163">
        <v>0.1207345020425683</v>
      </c>
      <c r="J163" t="s">
        <v>776</v>
      </c>
      <c r="K163" t="s">
        <v>775</v>
      </c>
      <c r="L163">
        <v>6.2</v>
      </c>
      <c r="M163">
        <v>2.8</v>
      </c>
      <c r="N163">
        <v>0.4516129032258064</v>
      </c>
      <c r="O163">
        <v>1</v>
      </c>
      <c r="P163">
        <v>0.05502951838285242</v>
      </c>
      <c r="Q163">
        <v>0.290743838143453</v>
      </c>
      <c r="R163" t="s">
        <v>779</v>
      </c>
      <c r="S163" t="s">
        <v>783</v>
      </c>
      <c r="T163">
        <v>14664.412433</v>
      </c>
      <c r="U163" s="2">
        <v>44491</v>
      </c>
      <c r="V163" t="s">
        <v>797</v>
      </c>
    </row>
    <row r="164" spans="1:22">
      <c r="A164" s="1" t="s">
        <v>184</v>
      </c>
      <c r="B164">
        <f>HYPERLINK("https://www.suredividend.com/sure-analysis-SRE/","Sempra Energy")</f>
        <v>0</v>
      </c>
      <c r="C164">
        <v>124.61</v>
      </c>
      <c r="D164">
        <v>151</v>
      </c>
      <c r="E164">
        <v>0.8252317880794702</v>
      </c>
      <c r="F164">
        <v>0.03531016772329669</v>
      </c>
      <c r="G164">
        <v>0.03916571631601951</v>
      </c>
      <c r="H164">
        <v>0.05</v>
      </c>
      <c r="I164">
        <v>0.1186234974385887</v>
      </c>
      <c r="J164" t="s">
        <v>776</v>
      </c>
      <c r="K164" t="s">
        <v>776</v>
      </c>
      <c r="L164">
        <v>8.050000000000001</v>
      </c>
      <c r="M164">
        <v>4.4</v>
      </c>
      <c r="N164">
        <v>0.5465838509316771</v>
      </c>
      <c r="O164">
        <v>11</v>
      </c>
      <c r="P164">
        <v>0.05016303610438722</v>
      </c>
      <c r="Q164">
        <v>-0.016500705420491</v>
      </c>
      <c r="R164" t="s">
        <v>779</v>
      </c>
      <c r="S164" t="s">
        <v>791</v>
      </c>
      <c r="T164">
        <v>39935.201075</v>
      </c>
      <c r="U164" s="2">
        <v>44434</v>
      </c>
      <c r="V164" t="s">
        <v>802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50.76</v>
      </c>
      <c r="D165">
        <v>63</v>
      </c>
      <c r="E165">
        <v>0.8057142857142857</v>
      </c>
      <c r="F165">
        <v>0.02738376674546887</v>
      </c>
      <c r="G165">
        <v>0.04415215033351716</v>
      </c>
      <c r="H165">
        <v>0.05</v>
      </c>
      <c r="I165">
        <v>0.117491227503139</v>
      </c>
      <c r="J165" t="s">
        <v>776</v>
      </c>
      <c r="K165" t="s">
        <v>776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0.151879340639068</v>
      </c>
      <c r="R165" t="s">
        <v>779</v>
      </c>
      <c r="S165" t="s">
        <v>785</v>
      </c>
      <c r="T165">
        <v>208230.4</v>
      </c>
      <c r="U165" s="2">
        <v>44491</v>
      </c>
      <c r="V165" t="s">
        <v>795</v>
      </c>
    </row>
    <row r="166" spans="1:22">
      <c r="A166" s="1" t="s">
        <v>186</v>
      </c>
      <c r="B166">
        <f>HYPERLINK("https://www.suredividend.com/sure-analysis-SAP/","Sap SE")</f>
        <v>0</v>
      </c>
      <c r="C166">
        <v>145.65</v>
      </c>
      <c r="D166">
        <v>160</v>
      </c>
      <c r="E166">
        <v>0.9103125000000001</v>
      </c>
      <c r="F166">
        <v>0.01551664950223137</v>
      </c>
      <c r="G166">
        <v>0.01897117506316559</v>
      </c>
      <c r="H166">
        <v>0.08</v>
      </c>
      <c r="I166">
        <v>0.1137716055079243</v>
      </c>
      <c r="J166" t="s">
        <v>776</v>
      </c>
      <c r="K166" t="s">
        <v>370</v>
      </c>
      <c r="L166">
        <v>7.6</v>
      </c>
      <c r="M166">
        <v>2.26</v>
      </c>
      <c r="N166">
        <v>0.2973684210526316</v>
      </c>
      <c r="O166">
        <v>6</v>
      </c>
      <c r="P166">
        <v>0.08511082395204883</v>
      </c>
      <c r="Q166">
        <v>0.308502398582904</v>
      </c>
      <c r="R166" t="s">
        <v>779</v>
      </c>
      <c r="S166" t="s">
        <v>785</v>
      </c>
      <c r="T166">
        <v>182223.685047</v>
      </c>
      <c r="U166" s="2">
        <v>44507</v>
      </c>
      <c r="V166" t="s">
        <v>797</v>
      </c>
    </row>
    <row r="167" spans="1:22">
      <c r="A167" s="1" t="s">
        <v>187</v>
      </c>
      <c r="B167">
        <f>HYPERLINK("https://www.suredividend.com/sure-analysis-SR/","Spire Inc.")</f>
        <v>0</v>
      </c>
      <c r="C167">
        <v>63.17</v>
      </c>
      <c r="D167">
        <v>71</v>
      </c>
      <c r="E167">
        <v>0.8897183098591549</v>
      </c>
      <c r="F167">
        <v>0.04115877790090233</v>
      </c>
      <c r="G167">
        <v>0.02364529440405039</v>
      </c>
      <c r="H167">
        <v>0.055</v>
      </c>
      <c r="I167">
        <v>0.1129844493348502</v>
      </c>
      <c r="J167" t="s">
        <v>776</v>
      </c>
      <c r="K167" t="s">
        <v>775</v>
      </c>
      <c r="L167">
        <v>4.45</v>
      </c>
      <c r="M167">
        <v>2.6</v>
      </c>
      <c r="N167">
        <v>0.5842696629213483</v>
      </c>
      <c r="O167">
        <v>19</v>
      </c>
      <c r="P167">
        <v>0.05010553388446692</v>
      </c>
      <c r="Q167">
        <v>0.036903187598213</v>
      </c>
      <c r="R167" t="s">
        <v>779</v>
      </c>
      <c r="S167" t="s">
        <v>791</v>
      </c>
      <c r="T167">
        <v>3185.292316</v>
      </c>
      <c r="U167" s="2">
        <v>44432</v>
      </c>
      <c r="V167" t="s">
        <v>796</v>
      </c>
    </row>
    <row r="168" spans="1:22">
      <c r="A168" s="1" t="s">
        <v>188</v>
      </c>
      <c r="B168">
        <f>HYPERLINK("https://www.suredividend.com/sure-analysis-MO/","Altria Group Inc.")</f>
        <v>0</v>
      </c>
      <c r="C168">
        <v>44.75</v>
      </c>
      <c r="D168">
        <v>50.8</v>
      </c>
      <c r="E168">
        <v>0.8809055118110237</v>
      </c>
      <c r="F168">
        <v>0.08044692737430167</v>
      </c>
      <c r="G168">
        <v>0.02568530761070198</v>
      </c>
      <c r="H168">
        <v>0.022</v>
      </c>
      <c r="I168">
        <v>0.1112224236668053</v>
      </c>
      <c r="J168" t="s">
        <v>776</v>
      </c>
      <c r="K168" t="s">
        <v>775</v>
      </c>
      <c r="L168">
        <v>4.62</v>
      </c>
      <c r="M168">
        <v>3.6</v>
      </c>
      <c r="N168">
        <v>0.7792207792207793</v>
      </c>
      <c r="O168">
        <v>52</v>
      </c>
      <c r="P168">
        <v>0.02129568760013512</v>
      </c>
      <c r="Q168">
        <v>0.262308849971535</v>
      </c>
      <c r="R168" t="s">
        <v>779</v>
      </c>
      <c r="S168" t="s">
        <v>789</v>
      </c>
      <c r="T168">
        <v>82278.729337</v>
      </c>
      <c r="U168" s="2">
        <v>44506</v>
      </c>
      <c r="V168" t="s">
        <v>803</v>
      </c>
    </row>
    <row r="169" spans="1:22">
      <c r="A169" s="1" t="s">
        <v>189</v>
      </c>
      <c r="B169">
        <f>HYPERLINK("https://www.suredividend.com/sure-analysis-NVS/","Novartis AG")</f>
        <v>0</v>
      </c>
      <c r="C169">
        <v>83.17</v>
      </c>
      <c r="D169">
        <v>100</v>
      </c>
      <c r="E169">
        <v>0.8317</v>
      </c>
      <c r="F169">
        <v>0.038475411807142</v>
      </c>
      <c r="G169">
        <v>0.03754432595434687</v>
      </c>
      <c r="H169">
        <v>0.04</v>
      </c>
      <c r="I169">
        <v>0.109262667663433</v>
      </c>
      <c r="J169" t="s">
        <v>776</v>
      </c>
      <c r="K169" t="s">
        <v>775</v>
      </c>
      <c r="L169">
        <v>6.28</v>
      </c>
      <c r="M169">
        <v>3.2</v>
      </c>
      <c r="N169">
        <v>0.5095541401273885</v>
      </c>
      <c r="O169">
        <v>25</v>
      </c>
      <c r="P169">
        <v>0.03982420952666454</v>
      </c>
      <c r="Q169">
        <v>0.029721768162029</v>
      </c>
      <c r="R169" t="s">
        <v>779</v>
      </c>
      <c r="S169" t="s">
        <v>784</v>
      </c>
      <c r="T169">
        <v>202276.034243</v>
      </c>
      <c r="U169" s="2">
        <v>44496</v>
      </c>
      <c r="V169" t="s">
        <v>795</v>
      </c>
    </row>
    <row r="170" spans="1:22">
      <c r="A170" s="1" t="s">
        <v>190</v>
      </c>
      <c r="B170">
        <f>HYPERLINK("https://www.suredividend.com/sure-analysis-YUM/","Yum Brands Inc.")</f>
        <v>0</v>
      </c>
      <c r="C170">
        <v>125.8</v>
      </c>
      <c r="D170">
        <v>113</v>
      </c>
      <c r="E170">
        <v>1.113274336283186</v>
      </c>
      <c r="F170">
        <v>0.01589825119236884</v>
      </c>
      <c r="G170">
        <v>-0.02123245421594278</v>
      </c>
      <c r="H170">
        <v>0.12</v>
      </c>
      <c r="I170">
        <v>0.1090819208439087</v>
      </c>
      <c r="J170" t="s">
        <v>776</v>
      </c>
      <c r="K170" t="s">
        <v>514</v>
      </c>
      <c r="L170">
        <v>4.65</v>
      </c>
      <c r="M170">
        <v>2</v>
      </c>
      <c r="N170">
        <v>0.4301075268817204</v>
      </c>
      <c r="O170">
        <v>4</v>
      </c>
      <c r="P170">
        <v>0.0602809527753625</v>
      </c>
      <c r="Q170">
        <v>0.258807110928448</v>
      </c>
      <c r="R170" t="s">
        <v>779</v>
      </c>
      <c r="S170" t="s">
        <v>788</v>
      </c>
      <c r="T170">
        <v>36990.466268</v>
      </c>
      <c r="U170" s="2">
        <v>44510</v>
      </c>
      <c r="V170" t="s">
        <v>802</v>
      </c>
    </row>
    <row r="171" spans="1:22">
      <c r="A171" s="1" t="s">
        <v>191</v>
      </c>
      <c r="B171">
        <f>HYPERLINK("https://www.suredividend.com/sure-analysis-SUN/","Sunoco LP")</f>
        <v>0</v>
      </c>
      <c r="C171">
        <v>39.41</v>
      </c>
      <c r="D171">
        <v>46</v>
      </c>
      <c r="E171">
        <v>0.8567391304347826</v>
      </c>
      <c r="F171">
        <v>0.08373509261608729</v>
      </c>
      <c r="G171">
        <v>0.03140748636332646</v>
      </c>
      <c r="H171">
        <v>0.015</v>
      </c>
      <c r="I171">
        <v>0.1088171558078765</v>
      </c>
      <c r="J171" t="s">
        <v>776</v>
      </c>
      <c r="K171" t="s">
        <v>775</v>
      </c>
      <c r="L171">
        <v>7</v>
      </c>
      <c r="M171">
        <v>3.3</v>
      </c>
      <c r="N171">
        <v>0.4714285714285714</v>
      </c>
      <c r="O171">
        <v>0</v>
      </c>
      <c r="P171">
        <v>0</v>
      </c>
      <c r="Q171">
        <v>0.7281421061542001</v>
      </c>
      <c r="R171" t="s">
        <v>780</v>
      </c>
      <c r="S171" t="s">
        <v>792</v>
      </c>
      <c r="T171">
        <v>3318.248017</v>
      </c>
      <c r="U171" s="2">
        <v>44507</v>
      </c>
      <c r="V171" t="s">
        <v>797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21.92</v>
      </c>
      <c r="D172">
        <v>24</v>
      </c>
      <c r="E172">
        <v>0.9133333333333334</v>
      </c>
      <c r="F172">
        <v>0.0364963503649635</v>
      </c>
      <c r="G172">
        <v>0.01829623581838469</v>
      </c>
      <c r="H172">
        <v>0.055</v>
      </c>
      <c r="I172">
        <v>0.1057142386246706</v>
      </c>
      <c r="J172" t="s">
        <v>776</v>
      </c>
      <c r="K172" t="s">
        <v>775</v>
      </c>
      <c r="L172">
        <v>1.85</v>
      </c>
      <c r="M172">
        <v>0.8</v>
      </c>
      <c r="N172">
        <v>0.4324324324324325</v>
      </c>
      <c r="O172">
        <v>13</v>
      </c>
      <c r="P172">
        <v>0.06576275663547415</v>
      </c>
      <c r="Q172">
        <v>0.392643983063816</v>
      </c>
      <c r="R172" t="s">
        <v>779</v>
      </c>
      <c r="S172" t="s">
        <v>790</v>
      </c>
      <c r="T172">
        <v>515.806069</v>
      </c>
      <c r="U172" s="2">
        <v>44413</v>
      </c>
      <c r="V172" t="s">
        <v>797</v>
      </c>
    </row>
    <row r="173" spans="1:22">
      <c r="A173" s="1" t="s">
        <v>193</v>
      </c>
      <c r="B173">
        <f>HYPERLINK("https://www.suredividend.com/sure-analysis-RDEIY/","Red Electrica Corporacion S.A.")</f>
        <v>0</v>
      </c>
      <c r="C173">
        <v>10.2985</v>
      </c>
      <c r="D173">
        <v>10.5</v>
      </c>
      <c r="E173">
        <v>0.9808095238095239</v>
      </c>
      <c r="F173">
        <v>0.0582609117832694</v>
      </c>
      <c r="G173">
        <v>0.003882919795593409</v>
      </c>
      <c r="H173">
        <v>0.05</v>
      </c>
      <c r="I173">
        <v>0.1040576761492678</v>
      </c>
      <c r="J173" t="s">
        <v>776</v>
      </c>
      <c r="K173" t="s">
        <v>775</v>
      </c>
      <c r="L173">
        <v>1.75</v>
      </c>
      <c r="M173">
        <v>0.6</v>
      </c>
      <c r="N173">
        <v>0.3428571428571429</v>
      </c>
      <c r="O173">
        <v>5</v>
      </c>
      <c r="P173">
        <v>0.05115774595007161</v>
      </c>
      <c r="Q173">
        <v>0.09124472573839601</v>
      </c>
      <c r="R173" t="s">
        <v>779</v>
      </c>
      <c r="S173" t="s">
        <v>791</v>
      </c>
      <c r="T173">
        <v>11194.9452</v>
      </c>
      <c r="U173" s="2">
        <v>44500</v>
      </c>
      <c r="V173" t="s">
        <v>795</v>
      </c>
    </row>
    <row r="174" spans="1:22">
      <c r="A174" s="1" t="s">
        <v>194</v>
      </c>
      <c r="B174">
        <f>HYPERLINK("https://www.suredividend.com/sure-analysis-EVRG/","Evergy Inc")</f>
        <v>0</v>
      </c>
      <c r="C174">
        <v>64.69</v>
      </c>
      <c r="D174">
        <v>65</v>
      </c>
      <c r="E174">
        <v>0.9952307692307691</v>
      </c>
      <c r="F174">
        <v>0.03539959808316587</v>
      </c>
      <c r="G174">
        <v>0.0009565852040078759</v>
      </c>
      <c r="H174">
        <v>0.07000000000000001</v>
      </c>
      <c r="I174">
        <v>0.102533337595466</v>
      </c>
      <c r="J174" t="s">
        <v>776</v>
      </c>
      <c r="K174" t="s">
        <v>776</v>
      </c>
      <c r="L174">
        <v>3.55</v>
      </c>
      <c r="M174">
        <v>2.29</v>
      </c>
      <c r="N174">
        <v>0.6450704225352113</v>
      </c>
      <c r="O174">
        <v>17</v>
      </c>
      <c r="P174">
        <v>0.07318952131901812</v>
      </c>
      <c r="Q174">
        <v>0.146168682710406</v>
      </c>
      <c r="R174" t="s">
        <v>779</v>
      </c>
      <c r="S174" t="s">
        <v>791</v>
      </c>
      <c r="T174">
        <v>14702.889124</v>
      </c>
      <c r="U174" s="2">
        <v>44508</v>
      </c>
      <c r="V174" t="s">
        <v>802</v>
      </c>
    </row>
    <row r="175" spans="1:22">
      <c r="A175" s="1" t="s">
        <v>195</v>
      </c>
      <c r="B175">
        <f>HYPERLINK("https://www.suredividend.com/sure-analysis-LMT/","Lockheed Martin Corp.")</f>
        <v>0</v>
      </c>
      <c r="C175">
        <v>337.63</v>
      </c>
      <c r="D175">
        <v>359</v>
      </c>
      <c r="E175">
        <v>0.9404735376044568</v>
      </c>
      <c r="F175">
        <v>0.03317240766519563</v>
      </c>
      <c r="G175">
        <v>0.01234999246373003</v>
      </c>
      <c r="H175">
        <v>0.06</v>
      </c>
      <c r="I175">
        <v>0.102096573164671</v>
      </c>
      <c r="J175" t="s">
        <v>776</v>
      </c>
      <c r="K175" t="s">
        <v>776</v>
      </c>
      <c r="L175">
        <v>22.45</v>
      </c>
      <c r="M175">
        <v>11.2</v>
      </c>
      <c r="N175">
        <v>0.4988864142538975</v>
      </c>
      <c r="O175">
        <v>20</v>
      </c>
      <c r="P175">
        <v>0.06810541783933033</v>
      </c>
      <c r="Q175">
        <v>-0.04392429538292</v>
      </c>
      <c r="R175" t="s">
        <v>779</v>
      </c>
      <c r="S175" t="s">
        <v>786</v>
      </c>
      <c r="T175">
        <v>93262.700415</v>
      </c>
      <c r="U175" s="2">
        <v>44502</v>
      </c>
      <c r="V175" t="s">
        <v>800</v>
      </c>
    </row>
    <row r="176" spans="1:22">
      <c r="A176" s="1" t="s">
        <v>196</v>
      </c>
      <c r="B176">
        <f>HYPERLINK("https://www.suredividend.com/sure-analysis-TDS/","Telephone And Data Systems, Inc.")</f>
        <v>0</v>
      </c>
      <c r="C176">
        <v>20.05</v>
      </c>
      <c r="D176">
        <v>26</v>
      </c>
      <c r="E176">
        <v>0.7711538461538462</v>
      </c>
      <c r="F176">
        <v>0.03491271820448878</v>
      </c>
      <c r="G176">
        <v>0.05334780404503192</v>
      </c>
      <c r="H176">
        <v>0.02</v>
      </c>
      <c r="I176">
        <v>0.1016232322910631</v>
      </c>
      <c r="J176" t="s">
        <v>776</v>
      </c>
      <c r="K176" t="s">
        <v>775</v>
      </c>
      <c r="L176">
        <v>1.1</v>
      </c>
      <c r="M176">
        <v>0.7</v>
      </c>
      <c r="N176">
        <v>0.6363636363636362</v>
      </c>
      <c r="O176">
        <v>45</v>
      </c>
      <c r="P176">
        <v>0.02962100943384161</v>
      </c>
      <c r="Q176">
        <v>0.115815074200013</v>
      </c>
      <c r="R176" t="s">
        <v>779</v>
      </c>
      <c r="S176" t="s">
        <v>783</v>
      </c>
      <c r="T176">
        <v>2128.315204</v>
      </c>
      <c r="U176" s="2">
        <v>44419</v>
      </c>
      <c r="V176" t="s">
        <v>801</v>
      </c>
    </row>
    <row r="177" spans="1:22">
      <c r="A177" s="1" t="s">
        <v>197</v>
      </c>
      <c r="B177">
        <f>HYPERLINK("https://www.suredividend.com/sure-analysis-GILD/","Gilead Sciences, Inc.")</f>
        <v>0</v>
      </c>
      <c r="C177">
        <v>67.31999999999999</v>
      </c>
      <c r="D177">
        <v>80</v>
      </c>
      <c r="E177">
        <v>0.8414999999999999</v>
      </c>
      <c r="F177">
        <v>0.0421865715983363</v>
      </c>
      <c r="G177">
        <v>0.03511636781655714</v>
      </c>
      <c r="H177">
        <v>0.03</v>
      </c>
      <c r="I177">
        <v>0.1015918375481351</v>
      </c>
      <c r="J177" t="s">
        <v>776</v>
      </c>
      <c r="K177" t="s">
        <v>775</v>
      </c>
      <c r="L177">
        <v>8</v>
      </c>
      <c r="M177">
        <v>2.84</v>
      </c>
      <c r="N177">
        <v>0.355</v>
      </c>
      <c r="O177">
        <v>6</v>
      </c>
      <c r="P177">
        <v>0.049731056540673</v>
      </c>
      <c r="Q177">
        <v>0.169434534648144</v>
      </c>
      <c r="R177" t="s">
        <v>779</v>
      </c>
      <c r="S177" t="s">
        <v>784</v>
      </c>
      <c r="T177">
        <v>82977.46997999999</v>
      </c>
      <c r="U177" s="2">
        <v>44509</v>
      </c>
      <c r="V177" t="s">
        <v>797</v>
      </c>
    </row>
    <row r="178" spans="1:22">
      <c r="A178" s="1" t="s">
        <v>198</v>
      </c>
      <c r="B178">
        <f>HYPERLINK("https://www.suredividend.com/sure-analysis-EPD/","Enterprise Products Partners L P")</f>
        <v>0</v>
      </c>
      <c r="C178">
        <v>22.73</v>
      </c>
      <c r="D178">
        <v>24.1</v>
      </c>
      <c r="E178">
        <v>0.9431535269709543</v>
      </c>
      <c r="F178">
        <v>0.07919049714034317</v>
      </c>
      <c r="G178">
        <v>0.0117740149326917</v>
      </c>
      <c r="H178">
        <v>0.026</v>
      </c>
      <c r="I178">
        <v>0.101429692563028</v>
      </c>
      <c r="J178" t="s">
        <v>776</v>
      </c>
      <c r="K178" t="s">
        <v>775</v>
      </c>
      <c r="L178">
        <v>3.01</v>
      </c>
      <c r="M178">
        <v>1.8</v>
      </c>
      <c r="N178">
        <v>0.5980066445182725</v>
      </c>
      <c r="O178">
        <v>22</v>
      </c>
      <c r="P178">
        <v>0.01613736474159566</v>
      </c>
      <c r="Q178">
        <v>0.393585220033323</v>
      </c>
      <c r="R178" t="s">
        <v>780</v>
      </c>
      <c r="S178" t="s">
        <v>792</v>
      </c>
      <c r="T178">
        <v>49643.456522</v>
      </c>
      <c r="U178" s="2">
        <v>44506</v>
      </c>
      <c r="V178" t="s">
        <v>803</v>
      </c>
    </row>
    <row r="179" spans="1:22">
      <c r="A179" s="1" t="s">
        <v>199</v>
      </c>
      <c r="B179">
        <f>HYPERLINK("https://www.suredividend.com/sure-analysis-ENB/","Enbridge Inc")</f>
        <v>0</v>
      </c>
      <c r="C179">
        <v>42.2</v>
      </c>
      <c r="D179">
        <v>43</v>
      </c>
      <c r="E179">
        <v>0.9813953488372094</v>
      </c>
      <c r="F179">
        <v>0.06374407582938388</v>
      </c>
      <c r="G179">
        <v>0.003763041458649363</v>
      </c>
      <c r="H179">
        <v>0.04</v>
      </c>
      <c r="I179">
        <v>0.09910731500353687</v>
      </c>
      <c r="J179" t="s">
        <v>776</v>
      </c>
      <c r="K179" t="s">
        <v>775</v>
      </c>
      <c r="L179">
        <v>3.88</v>
      </c>
      <c r="M179">
        <v>2.69</v>
      </c>
      <c r="N179">
        <v>0.6932989690721649</v>
      </c>
      <c r="O179">
        <v>26</v>
      </c>
      <c r="P179">
        <v>0.04486096680385954</v>
      </c>
      <c r="Q179">
        <v>0.571406276707218</v>
      </c>
      <c r="R179" t="s">
        <v>779</v>
      </c>
      <c r="S179" t="s">
        <v>792</v>
      </c>
      <c r="T179">
        <v>85677.954336</v>
      </c>
      <c r="U179" s="2">
        <v>44505</v>
      </c>
      <c r="V179" t="s">
        <v>797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70.76000000000001</v>
      </c>
      <c r="D180">
        <v>76</v>
      </c>
      <c r="E180">
        <v>0.9310526315789475</v>
      </c>
      <c r="F180">
        <v>0.03335217637083097</v>
      </c>
      <c r="G180">
        <v>0.01439045403181405</v>
      </c>
      <c r="H180">
        <v>0.055</v>
      </c>
      <c r="I180">
        <v>0.09817169830434613</v>
      </c>
      <c r="J180" t="s">
        <v>776</v>
      </c>
      <c r="K180" t="s">
        <v>776</v>
      </c>
      <c r="L180">
        <v>4.1</v>
      </c>
      <c r="M180">
        <v>2.36</v>
      </c>
      <c r="N180">
        <v>0.575609756097561</v>
      </c>
      <c r="O180">
        <v>14</v>
      </c>
      <c r="P180">
        <v>0.04985881365701572</v>
      </c>
      <c r="Q180">
        <v>-0.009108795452889</v>
      </c>
      <c r="R180" t="s">
        <v>779</v>
      </c>
      <c r="S180" t="s">
        <v>791</v>
      </c>
      <c r="T180">
        <v>4017.76047</v>
      </c>
      <c r="U180" s="2">
        <v>44417</v>
      </c>
      <c r="V180" t="s">
        <v>801</v>
      </c>
    </row>
    <row r="181" spans="1:22">
      <c r="A181" s="1" t="s">
        <v>201</v>
      </c>
      <c r="B181">
        <f>HYPERLINK("https://www.suredividend.com/sure-analysis-NJR/","New Jersey Resources Corporation")</f>
        <v>0</v>
      </c>
      <c r="C181">
        <v>38.84</v>
      </c>
      <c r="D181">
        <v>40</v>
      </c>
      <c r="E181">
        <v>0.9710000000000001</v>
      </c>
      <c r="F181">
        <v>0.03424304840370752</v>
      </c>
      <c r="G181">
        <v>0.005903117268819091</v>
      </c>
      <c r="H181">
        <v>0.06</v>
      </c>
      <c r="I181">
        <v>0.09619087656231207</v>
      </c>
      <c r="J181" t="s">
        <v>776</v>
      </c>
      <c r="K181" t="s">
        <v>776</v>
      </c>
      <c r="L181">
        <v>2.15</v>
      </c>
      <c r="M181">
        <v>1.33</v>
      </c>
      <c r="N181">
        <v>0.6186046511627907</v>
      </c>
      <c r="O181">
        <v>25</v>
      </c>
      <c r="P181">
        <v>0.06001905503876492</v>
      </c>
      <c r="Q181">
        <v>0.202969666269923</v>
      </c>
      <c r="R181" t="s">
        <v>779</v>
      </c>
      <c r="S181" t="s">
        <v>791</v>
      </c>
      <c r="T181">
        <v>3732.956308</v>
      </c>
      <c r="U181" s="2">
        <v>44418</v>
      </c>
      <c r="V181" t="s">
        <v>801</v>
      </c>
    </row>
    <row r="182" spans="1:22">
      <c r="A182" s="1" t="s">
        <v>202</v>
      </c>
      <c r="B182">
        <f>HYPERLINK("https://www.suredividend.com/sure-analysis-MURGF/","Münchener Rückversicherungs-Gesellschaft AG")</f>
        <v>0</v>
      </c>
      <c r="C182">
        <v>293.01</v>
      </c>
      <c r="D182">
        <v>319</v>
      </c>
      <c r="E182">
        <v>0.918526645768025</v>
      </c>
      <c r="F182">
        <v>0.04436708644756152</v>
      </c>
      <c r="G182">
        <v>0.01714214164708583</v>
      </c>
      <c r="H182">
        <v>0.04</v>
      </c>
      <c r="I182">
        <v>0.09607316009076827</v>
      </c>
      <c r="J182" t="s">
        <v>776</v>
      </c>
      <c r="K182" t="s">
        <v>775</v>
      </c>
      <c r="L182">
        <v>25.5</v>
      </c>
      <c r="M182">
        <v>13</v>
      </c>
      <c r="N182">
        <v>0.5098039215686274</v>
      </c>
      <c r="O182">
        <v>6</v>
      </c>
      <c r="P182">
        <v>0.0499789846479779</v>
      </c>
      <c r="Q182">
        <v>0.06084034827847801</v>
      </c>
      <c r="R182" t="s">
        <v>779</v>
      </c>
      <c r="S182" t="s">
        <v>790</v>
      </c>
      <c r="T182">
        <v>41137.24911</v>
      </c>
      <c r="U182" s="2">
        <v>44422</v>
      </c>
      <c r="V182" t="s">
        <v>794</v>
      </c>
    </row>
    <row r="183" spans="1:22">
      <c r="A183" s="1" t="s">
        <v>203</v>
      </c>
      <c r="B183">
        <f>HYPERLINK("https://www.suredividend.com/sure-analysis-FNV/","Franco-Nevada Corporation")</f>
        <v>0</v>
      </c>
      <c r="C183">
        <v>144.68</v>
      </c>
      <c r="D183">
        <v>161</v>
      </c>
      <c r="E183">
        <v>0.8986335403726708</v>
      </c>
      <c r="F183">
        <v>0.008294166436273153</v>
      </c>
      <c r="G183">
        <v>0.02160609472432951</v>
      </c>
      <c r="H183">
        <v>0.065</v>
      </c>
      <c r="I183">
        <v>0.0954011648836719</v>
      </c>
      <c r="J183" t="s">
        <v>776</v>
      </c>
      <c r="K183" t="s">
        <v>514</v>
      </c>
      <c r="L183">
        <v>3.49</v>
      </c>
      <c r="M183">
        <v>1.2</v>
      </c>
      <c r="N183">
        <v>0.3438395415472779</v>
      </c>
      <c r="O183">
        <v>14</v>
      </c>
      <c r="P183">
        <v>0.0796084730466029</v>
      </c>
      <c r="Q183">
        <v>0.032537727340037</v>
      </c>
      <c r="R183" t="s">
        <v>779</v>
      </c>
      <c r="S183" t="s">
        <v>787</v>
      </c>
      <c r="T183">
        <v>27862.444261</v>
      </c>
      <c r="U183" s="2">
        <v>44508</v>
      </c>
      <c r="V183" t="s">
        <v>801</v>
      </c>
    </row>
    <row r="184" spans="1:22">
      <c r="A184" s="1" t="s">
        <v>204</v>
      </c>
      <c r="B184">
        <f>HYPERLINK("https://www.suredividend.com/sure-analysis-KDP/","Keurig Dr Pepper Inc")</f>
        <v>0</v>
      </c>
      <c r="C184">
        <v>35.87</v>
      </c>
      <c r="D184">
        <v>32</v>
      </c>
      <c r="E184">
        <v>1.1209375</v>
      </c>
      <c r="F184">
        <v>0.01979369947030945</v>
      </c>
      <c r="G184">
        <v>-0.02257437575750065</v>
      </c>
      <c r="H184">
        <v>0.1</v>
      </c>
      <c r="I184">
        <v>0.09187390625785796</v>
      </c>
      <c r="J184" t="s">
        <v>776</v>
      </c>
      <c r="K184" t="s">
        <v>370</v>
      </c>
      <c r="L184">
        <v>1.6</v>
      </c>
      <c r="M184">
        <v>0.71</v>
      </c>
      <c r="N184">
        <v>0.44375</v>
      </c>
      <c r="O184">
        <v>1</v>
      </c>
      <c r="P184">
        <v>0.05088842545712402</v>
      </c>
      <c r="Q184">
        <v>0.316104067122043</v>
      </c>
      <c r="R184" t="s">
        <v>779</v>
      </c>
      <c r="S184" t="s">
        <v>789</v>
      </c>
      <c r="T184">
        <v>50734.665833</v>
      </c>
      <c r="U184" s="2">
        <v>44439</v>
      </c>
      <c r="V184" t="s">
        <v>800</v>
      </c>
    </row>
    <row r="185" spans="1:22">
      <c r="A185" s="1" t="s">
        <v>205</v>
      </c>
      <c r="B185">
        <f>HYPERLINK("https://www.suredividend.com/sure-analysis-FTS/","Fortis Inc.")</f>
        <v>0</v>
      </c>
      <c r="C185">
        <v>45.59</v>
      </c>
      <c r="D185">
        <v>45</v>
      </c>
      <c r="E185">
        <v>1.013111111111111</v>
      </c>
      <c r="F185">
        <v>0.037069532792279</v>
      </c>
      <c r="G185">
        <v>-0.00260179035222996</v>
      </c>
      <c r="H185">
        <v>0.06</v>
      </c>
      <c r="I185">
        <v>0.09052197436052545</v>
      </c>
      <c r="J185" t="s">
        <v>776</v>
      </c>
      <c r="K185" t="s">
        <v>775</v>
      </c>
      <c r="L185">
        <v>2.14</v>
      </c>
      <c r="M185">
        <v>1.69</v>
      </c>
      <c r="N185">
        <v>0.7897196261682242</v>
      </c>
      <c r="O185">
        <v>48</v>
      </c>
      <c r="P185">
        <v>0.05984986030460782</v>
      </c>
      <c r="Q185">
        <v>0.125851648692587</v>
      </c>
      <c r="R185" t="s">
        <v>779</v>
      </c>
      <c r="S185" t="s">
        <v>791</v>
      </c>
      <c r="T185">
        <v>21450.416909</v>
      </c>
      <c r="U185" s="2">
        <v>44505</v>
      </c>
      <c r="V185" t="s">
        <v>804</v>
      </c>
    </row>
    <row r="186" spans="1:22">
      <c r="A186" s="1" t="s">
        <v>206</v>
      </c>
      <c r="B186">
        <f>HYPERLINK("https://www.suredividend.com/sure-analysis-HII/","Huntington Ingalls Industries Inc")</f>
        <v>0</v>
      </c>
      <c r="C186">
        <v>193.82</v>
      </c>
      <c r="D186">
        <v>209</v>
      </c>
      <c r="E186">
        <v>0.9273684210526315</v>
      </c>
      <c r="F186">
        <v>0.02435249200288928</v>
      </c>
      <c r="G186">
        <v>0.01519516188673631</v>
      </c>
      <c r="H186">
        <v>0.05</v>
      </c>
      <c r="I186">
        <v>0.09016088887688878</v>
      </c>
      <c r="J186" t="s">
        <v>776</v>
      </c>
      <c r="K186" t="s">
        <v>776</v>
      </c>
      <c r="L186">
        <v>14.95</v>
      </c>
      <c r="M186">
        <v>4.72</v>
      </c>
      <c r="N186">
        <v>0.3157190635451505</v>
      </c>
      <c r="O186">
        <v>10</v>
      </c>
      <c r="P186">
        <v>0.099953481691746</v>
      </c>
      <c r="Q186">
        <v>0.278569210477767</v>
      </c>
      <c r="R186" t="s">
        <v>779</v>
      </c>
      <c r="S186" t="s">
        <v>786</v>
      </c>
      <c r="T186">
        <v>7801.879361</v>
      </c>
      <c r="U186" s="2">
        <v>44424</v>
      </c>
      <c r="V186" t="s">
        <v>800</v>
      </c>
    </row>
    <row r="187" spans="1:22">
      <c r="A187" s="1" t="s">
        <v>207</v>
      </c>
      <c r="B187">
        <f>HYPERLINK("https://www.suredividend.com/sure-analysis-BNS/","Bank Of Nova Scotia")</f>
        <v>0</v>
      </c>
      <c r="C187">
        <v>66.19</v>
      </c>
      <c r="D187">
        <v>67</v>
      </c>
      <c r="E187">
        <v>0.987910447761194</v>
      </c>
      <c r="F187">
        <v>0.04245354283124339</v>
      </c>
      <c r="G187">
        <v>0.002435606333763829</v>
      </c>
      <c r="H187">
        <v>0.05</v>
      </c>
      <c r="I187">
        <v>0.09014417368451477</v>
      </c>
      <c r="J187" t="s">
        <v>776</v>
      </c>
      <c r="K187" t="s">
        <v>775</v>
      </c>
      <c r="L187">
        <v>5.93</v>
      </c>
      <c r="M187">
        <v>2.81</v>
      </c>
      <c r="N187">
        <v>0.4738617200674536</v>
      </c>
      <c r="O187">
        <v>9</v>
      </c>
      <c r="P187">
        <v>0.05196296413233981</v>
      </c>
      <c r="Q187">
        <v>0.5184079874420471</v>
      </c>
      <c r="R187" t="s">
        <v>779</v>
      </c>
      <c r="S187" t="s">
        <v>790</v>
      </c>
      <c r="T187">
        <v>80880.71215599999</v>
      </c>
      <c r="U187" s="2">
        <v>44436</v>
      </c>
      <c r="V187" t="s">
        <v>804</v>
      </c>
    </row>
    <row r="188" spans="1:22">
      <c r="A188" s="1" t="s">
        <v>208</v>
      </c>
      <c r="B188">
        <f>HYPERLINK("https://www.suredividend.com/sure-analysis-BR/","Broadridge Financial Solutions, Inc.")</f>
        <v>0</v>
      </c>
      <c r="C188">
        <v>178.83</v>
      </c>
      <c r="D188">
        <v>160</v>
      </c>
      <c r="E188">
        <v>1.1176875</v>
      </c>
      <c r="F188">
        <v>0.01431527148688699</v>
      </c>
      <c r="G188">
        <v>-0.02200660615830241</v>
      </c>
      <c r="H188">
        <v>0.1</v>
      </c>
      <c r="I188">
        <v>0.08977308065921141</v>
      </c>
      <c r="J188" t="s">
        <v>776</v>
      </c>
      <c r="K188" t="s">
        <v>370</v>
      </c>
      <c r="L188">
        <v>6.39</v>
      </c>
      <c r="M188">
        <v>2.56</v>
      </c>
      <c r="N188">
        <v>0.4006259780907668</v>
      </c>
      <c r="O188">
        <v>13</v>
      </c>
      <c r="P188">
        <v>0.09984491222048941</v>
      </c>
      <c r="Q188">
        <v>0.232915725412884</v>
      </c>
      <c r="R188" t="s">
        <v>779</v>
      </c>
      <c r="S188" t="s">
        <v>785</v>
      </c>
      <c r="T188">
        <v>20792.864208</v>
      </c>
      <c r="U188" s="2">
        <v>44421</v>
      </c>
      <c r="V188" t="s">
        <v>801</v>
      </c>
    </row>
    <row r="189" spans="1:22">
      <c r="A189" s="1" t="s">
        <v>209</v>
      </c>
      <c r="B189">
        <f>HYPERLINK("https://www.suredividend.com/sure-analysis-IMO/","Imperial Oil Ltd.")</f>
        <v>0</v>
      </c>
      <c r="C189">
        <v>34.29</v>
      </c>
      <c r="D189">
        <v>39</v>
      </c>
      <c r="E189">
        <v>0.8792307692307693</v>
      </c>
      <c r="F189">
        <v>0.0242053076698746</v>
      </c>
      <c r="G189">
        <v>0.02607575153743036</v>
      </c>
      <c r="H189">
        <v>0.04</v>
      </c>
      <c r="I189">
        <v>0.08911409951705429</v>
      </c>
      <c r="J189" t="s">
        <v>776</v>
      </c>
      <c r="K189" t="s">
        <v>776</v>
      </c>
      <c r="L189">
        <v>2.8</v>
      </c>
      <c r="M189">
        <v>0.83</v>
      </c>
      <c r="N189">
        <v>0.2964285714285714</v>
      </c>
      <c r="O189">
        <v>6</v>
      </c>
      <c r="P189">
        <v>0.06924192562875131</v>
      </c>
      <c r="Q189">
        <v>1.16707466721482</v>
      </c>
      <c r="R189" t="s">
        <v>779</v>
      </c>
      <c r="S189" t="s">
        <v>792</v>
      </c>
      <c r="T189">
        <v>24101.281547</v>
      </c>
      <c r="U189" s="2">
        <v>44502</v>
      </c>
      <c r="V189" t="s">
        <v>802</v>
      </c>
    </row>
    <row r="190" spans="1:22">
      <c r="A190" s="1" t="s">
        <v>210</v>
      </c>
      <c r="B190">
        <f>HYPERLINK("https://www.suredividend.com/sure-analysis-BLK/","Blackrock Inc.")</f>
        <v>0</v>
      </c>
      <c r="C190">
        <v>959.21</v>
      </c>
      <c r="D190">
        <v>802</v>
      </c>
      <c r="E190">
        <v>1.196022443890274</v>
      </c>
      <c r="F190">
        <v>0.01722250602057943</v>
      </c>
      <c r="G190">
        <v>-0.03516703339800475</v>
      </c>
      <c r="H190">
        <v>0.11</v>
      </c>
      <c r="I190">
        <v>0.0884833916216845</v>
      </c>
      <c r="J190" t="s">
        <v>776</v>
      </c>
      <c r="K190" t="s">
        <v>370</v>
      </c>
      <c r="L190">
        <v>38.2</v>
      </c>
      <c r="M190">
        <v>16.52</v>
      </c>
      <c r="N190">
        <v>0.4324607329842932</v>
      </c>
      <c r="O190">
        <v>11</v>
      </c>
      <c r="P190">
        <v>0.1100226421779109</v>
      </c>
      <c r="Q190">
        <v>0.480840293193358</v>
      </c>
      <c r="R190" t="s">
        <v>779</v>
      </c>
      <c r="S190" t="s">
        <v>790</v>
      </c>
      <c r="T190">
        <v>146865.930865</v>
      </c>
      <c r="U190" s="2">
        <v>44484</v>
      </c>
      <c r="V190" t="s">
        <v>804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28.18</v>
      </c>
      <c r="D191">
        <v>29</v>
      </c>
      <c r="E191">
        <v>0.9717241379310345</v>
      </c>
      <c r="F191">
        <v>0.05003548616039744</v>
      </c>
      <c r="G191">
        <v>0.005753150874281632</v>
      </c>
      <c r="H191">
        <v>0.04</v>
      </c>
      <c r="I191">
        <v>0.0876514764532208</v>
      </c>
      <c r="J191" t="s">
        <v>776</v>
      </c>
      <c r="K191" t="s">
        <v>775</v>
      </c>
      <c r="L191">
        <v>1.8</v>
      </c>
      <c r="M191">
        <v>1.41</v>
      </c>
      <c r="N191">
        <v>0.7833333333333332</v>
      </c>
      <c r="O191">
        <v>49</v>
      </c>
      <c r="P191">
        <v>0.02560510523091319</v>
      </c>
      <c r="Q191">
        <v>0.170265780730897</v>
      </c>
      <c r="R191" t="s">
        <v>779</v>
      </c>
      <c r="S191" t="s">
        <v>791</v>
      </c>
      <c r="T191">
        <v>5538.316763</v>
      </c>
      <c r="U191" s="2">
        <v>44502</v>
      </c>
      <c r="V191" t="s">
        <v>794</v>
      </c>
    </row>
    <row r="192" spans="1:22">
      <c r="A192" s="1" t="s">
        <v>212</v>
      </c>
      <c r="B192">
        <f>HYPERLINK("https://www.suredividend.com/sure-analysis-SLF/","Sun Life Financial, Inc.")</f>
        <v>0</v>
      </c>
      <c r="C192">
        <v>56.34</v>
      </c>
      <c r="D192">
        <v>53</v>
      </c>
      <c r="E192">
        <v>1.063018867924528</v>
      </c>
      <c r="F192">
        <v>0.03106141285055023</v>
      </c>
      <c r="G192">
        <v>-0.01214817756966546</v>
      </c>
      <c r="H192">
        <v>0.07000000000000001</v>
      </c>
      <c r="I192">
        <v>0.08679605384344091</v>
      </c>
      <c r="J192" t="s">
        <v>776</v>
      </c>
      <c r="K192" t="s">
        <v>776</v>
      </c>
      <c r="L192">
        <v>4.8</v>
      </c>
      <c r="M192">
        <v>1.75</v>
      </c>
      <c r="N192">
        <v>0.3645833333333334</v>
      </c>
      <c r="O192">
        <v>6</v>
      </c>
      <c r="P192">
        <v>0.07988874527364032</v>
      </c>
      <c r="Q192">
        <v>0.309397132690305</v>
      </c>
      <c r="R192" t="s">
        <v>779</v>
      </c>
      <c r="S192" t="s">
        <v>790</v>
      </c>
      <c r="T192">
        <v>33520.340766</v>
      </c>
      <c r="U192" s="2">
        <v>44425</v>
      </c>
      <c r="V192" t="s">
        <v>797</v>
      </c>
    </row>
    <row r="193" spans="1:22">
      <c r="A193" s="1" t="s">
        <v>213</v>
      </c>
      <c r="B193">
        <f>HYPERLINK("https://www.suredividend.com/sure-analysis-EMN/","Eastman Chemical Co")</f>
        <v>0</v>
      </c>
      <c r="C193">
        <v>112.04</v>
      </c>
      <c r="D193">
        <v>120</v>
      </c>
      <c r="E193">
        <v>0.9336666666666668</v>
      </c>
      <c r="F193">
        <v>0.02463405926454837</v>
      </c>
      <c r="G193">
        <v>0.01382180851410331</v>
      </c>
      <c r="H193">
        <v>0.05</v>
      </c>
      <c r="I193">
        <v>0.08588760239331794</v>
      </c>
      <c r="J193" t="s">
        <v>776</v>
      </c>
      <c r="K193" t="s">
        <v>776</v>
      </c>
      <c r="L193">
        <v>8.9</v>
      </c>
      <c r="M193">
        <v>2.76</v>
      </c>
      <c r="N193">
        <v>0.3101123595505618</v>
      </c>
      <c r="O193">
        <v>11</v>
      </c>
      <c r="P193">
        <v>0.04984870359842875</v>
      </c>
      <c r="Q193">
        <v>0.274265374781932</v>
      </c>
      <c r="R193" t="s">
        <v>779</v>
      </c>
      <c r="S193" t="s">
        <v>787</v>
      </c>
      <c r="T193">
        <v>15103.020943</v>
      </c>
      <c r="U193" s="2">
        <v>44502</v>
      </c>
      <c r="V193" t="s">
        <v>794</v>
      </c>
    </row>
    <row r="194" spans="1:22">
      <c r="A194" s="1" t="s">
        <v>214</v>
      </c>
      <c r="B194">
        <f>HYPERLINK("https://www.suredividend.com/sure-analysis-GWLIF/","Great-West Lifeco, Inc.")</f>
        <v>0</v>
      </c>
      <c r="C194">
        <v>30.67</v>
      </c>
      <c r="D194">
        <v>31</v>
      </c>
      <c r="E194">
        <v>0.9893548387096774</v>
      </c>
      <c r="F194">
        <v>0.045647212259537</v>
      </c>
      <c r="G194">
        <v>0.002142737660063343</v>
      </c>
      <c r="H194">
        <v>0.045</v>
      </c>
      <c r="I194">
        <v>0.08575956576492594</v>
      </c>
      <c r="J194" t="s">
        <v>776</v>
      </c>
      <c r="K194" t="s">
        <v>775</v>
      </c>
      <c r="L194">
        <v>2.62</v>
      </c>
      <c r="M194">
        <v>1.4</v>
      </c>
      <c r="N194">
        <v>0.5343511450381678</v>
      </c>
      <c r="O194">
        <v>6</v>
      </c>
      <c r="P194">
        <v>0.02962100943384161</v>
      </c>
      <c r="Q194">
        <v>0.383073496659242</v>
      </c>
      <c r="R194" t="s">
        <v>779</v>
      </c>
      <c r="S194" t="s">
        <v>790</v>
      </c>
      <c r="T194">
        <v>28891.558815</v>
      </c>
      <c r="U194" s="2">
        <v>44419</v>
      </c>
      <c r="V194" t="s">
        <v>801</v>
      </c>
    </row>
    <row r="195" spans="1:22">
      <c r="A195" s="1" t="s">
        <v>215</v>
      </c>
      <c r="B195">
        <f>HYPERLINK("https://www.suredividend.com/sure-analysis-BIP/","Brookfield Infrastructure Partners L.P")</f>
        <v>0</v>
      </c>
      <c r="C195">
        <v>60.77</v>
      </c>
      <c r="D195">
        <v>56</v>
      </c>
      <c r="E195">
        <v>1.085178571428572</v>
      </c>
      <c r="F195">
        <v>0.03356919532664143</v>
      </c>
      <c r="G195">
        <v>-0.01621599297685361</v>
      </c>
      <c r="H195">
        <v>0.07000000000000001</v>
      </c>
      <c r="I195">
        <v>0.0852325469466424</v>
      </c>
      <c r="J195" t="s">
        <v>776</v>
      </c>
      <c r="K195" t="s">
        <v>776</v>
      </c>
      <c r="L195">
        <v>3.5</v>
      </c>
      <c r="M195">
        <v>2.04</v>
      </c>
      <c r="N195">
        <v>0.5828571428571429</v>
      </c>
      <c r="O195">
        <v>12</v>
      </c>
      <c r="P195">
        <v>0.0801851873035635</v>
      </c>
      <c r="Q195">
        <v>0.253852358988148</v>
      </c>
      <c r="R195" t="s">
        <v>780</v>
      </c>
      <c r="S195" t="s">
        <v>791</v>
      </c>
      <c r="T195">
        <v>17908.965812</v>
      </c>
      <c r="U195" s="2">
        <v>44506</v>
      </c>
      <c r="V195" t="s">
        <v>804</v>
      </c>
    </row>
    <row r="196" spans="1:22">
      <c r="A196" s="1" t="s">
        <v>216</v>
      </c>
      <c r="B196">
        <f>HYPERLINK("https://www.suredividend.com/sure-analysis-OGN/","Organon &amp; Co.")</f>
        <v>0</v>
      </c>
      <c r="C196">
        <v>36.63</v>
      </c>
      <c r="D196">
        <v>42</v>
      </c>
      <c r="E196">
        <v>0.8721428571428572</v>
      </c>
      <c r="F196">
        <v>0.03057603057603058</v>
      </c>
      <c r="G196">
        <v>0.02773814137779307</v>
      </c>
      <c r="H196">
        <v>0.03</v>
      </c>
      <c r="I196">
        <v>0.08397308019488547</v>
      </c>
      <c r="J196" t="s">
        <v>776</v>
      </c>
      <c r="K196" t="s">
        <v>775</v>
      </c>
      <c r="L196">
        <v>5.98</v>
      </c>
      <c r="M196">
        <v>1.12</v>
      </c>
      <c r="N196">
        <v>0.1872909698996656</v>
      </c>
      <c r="O196">
        <v>0</v>
      </c>
      <c r="P196">
        <v>0.03025579475561258</v>
      </c>
      <c r="Q196">
        <v>0.101954887218045</v>
      </c>
      <c r="R196" t="s">
        <v>779</v>
      </c>
      <c r="S196" t="s">
        <v>784</v>
      </c>
      <c r="T196">
        <v>9289.890669</v>
      </c>
      <c r="U196" s="2">
        <v>44422</v>
      </c>
      <c r="V196" t="s">
        <v>795</v>
      </c>
    </row>
    <row r="197" spans="1:22">
      <c r="A197" s="1" t="s">
        <v>217</v>
      </c>
      <c r="B197">
        <f>HYPERLINK("https://www.suredividend.com/sure-analysis-MSM/","MSC Industrial Direct Co., Inc.")</f>
        <v>0</v>
      </c>
      <c r="C197">
        <v>85.43000000000001</v>
      </c>
      <c r="D197">
        <v>86</v>
      </c>
      <c r="E197">
        <v>0.9933720930232559</v>
      </c>
      <c r="F197">
        <v>0.03511646962425377</v>
      </c>
      <c r="G197">
        <v>0.001330878652005207</v>
      </c>
      <c r="H197">
        <v>0.05</v>
      </c>
      <c r="I197">
        <v>0.08281511851259804</v>
      </c>
      <c r="J197" t="s">
        <v>776</v>
      </c>
      <c r="K197" t="s">
        <v>776</v>
      </c>
      <c r="L197">
        <v>5.55</v>
      </c>
      <c r="M197">
        <v>3</v>
      </c>
      <c r="N197">
        <v>0.5405405405405406</v>
      </c>
      <c r="O197">
        <v>16</v>
      </c>
      <c r="P197">
        <v>0.05006335758366887</v>
      </c>
      <c r="Q197">
        <v>0.177583605560834</v>
      </c>
      <c r="R197" t="s">
        <v>779</v>
      </c>
      <c r="S197" t="s">
        <v>786</v>
      </c>
      <c r="T197">
        <v>4027.010993</v>
      </c>
      <c r="U197" s="2">
        <v>44494</v>
      </c>
      <c r="V197" t="s">
        <v>801</v>
      </c>
    </row>
    <row r="198" spans="1:22">
      <c r="A198" s="1" t="s">
        <v>218</v>
      </c>
      <c r="B198">
        <f>HYPERLINK("https://www.suredividend.com/sure-analysis-MDLZ/","Mondelez International Inc.")</f>
        <v>0</v>
      </c>
      <c r="C198">
        <v>62.73</v>
      </c>
      <c r="D198">
        <v>57</v>
      </c>
      <c r="E198">
        <v>1.100526315789474</v>
      </c>
      <c r="F198">
        <v>0.02231787023752591</v>
      </c>
      <c r="G198">
        <v>-0.01897536426739166</v>
      </c>
      <c r="H198">
        <v>0.08</v>
      </c>
      <c r="I198">
        <v>0.08107362718844446</v>
      </c>
      <c r="J198" t="s">
        <v>776</v>
      </c>
      <c r="K198" t="s">
        <v>370</v>
      </c>
      <c r="L198">
        <v>2.85</v>
      </c>
      <c r="M198">
        <v>1.4</v>
      </c>
      <c r="N198">
        <v>0.4912280701754386</v>
      </c>
      <c r="O198">
        <v>8</v>
      </c>
      <c r="P198">
        <v>0.08030860883184343</v>
      </c>
      <c r="Q198">
        <v>0.137354153151753</v>
      </c>
      <c r="R198" t="s">
        <v>779</v>
      </c>
      <c r="S198" t="s">
        <v>789</v>
      </c>
      <c r="T198">
        <v>86823.065496</v>
      </c>
      <c r="U198" s="2">
        <v>44410</v>
      </c>
      <c r="V198" t="s">
        <v>804</v>
      </c>
    </row>
    <row r="199" spans="1:22">
      <c r="A199" s="1" t="s">
        <v>219</v>
      </c>
      <c r="B199">
        <f>HYPERLINK("https://www.suredividend.com/sure-analysis-TD/","Toronto Dominion Bank")</f>
        <v>0</v>
      </c>
      <c r="C199">
        <v>73.83</v>
      </c>
      <c r="D199">
        <v>74</v>
      </c>
      <c r="E199">
        <v>0.9977027027027027</v>
      </c>
      <c r="F199">
        <v>0.03399702018149803</v>
      </c>
      <c r="G199">
        <v>0.0004600938373346963</v>
      </c>
      <c r="H199">
        <v>0.05</v>
      </c>
      <c r="I199">
        <v>0.0810282181732136</v>
      </c>
      <c r="J199" t="s">
        <v>776</v>
      </c>
      <c r="K199" t="s">
        <v>776</v>
      </c>
      <c r="L199">
        <v>6.08</v>
      </c>
      <c r="M199">
        <v>2.51</v>
      </c>
      <c r="N199">
        <v>0.412828947368421</v>
      </c>
      <c r="O199">
        <v>9</v>
      </c>
      <c r="P199">
        <v>0.04977264413928073</v>
      </c>
      <c r="Q199">
        <v>0.5698781233944671</v>
      </c>
      <c r="R199" t="s">
        <v>779</v>
      </c>
      <c r="S199" t="s">
        <v>790</v>
      </c>
      <c r="T199">
        <v>134221.827944</v>
      </c>
      <c r="U199" s="2">
        <v>44444</v>
      </c>
      <c r="V199" t="s">
        <v>804</v>
      </c>
    </row>
    <row r="200" spans="1:22">
      <c r="A200" s="1" t="s">
        <v>220</v>
      </c>
      <c r="B200">
        <f>HYPERLINK("https://www.suredividend.com/sure-analysis-MRK/","Merck &amp; Co Inc")</f>
        <v>0</v>
      </c>
      <c r="C200">
        <v>84.01000000000001</v>
      </c>
      <c r="D200">
        <v>85</v>
      </c>
      <c r="E200">
        <v>0.9883529411764707</v>
      </c>
      <c r="F200">
        <v>0.03094869658374003</v>
      </c>
      <c r="G200">
        <v>0.002345830587868303</v>
      </c>
      <c r="H200">
        <v>0.05</v>
      </c>
      <c r="I200">
        <v>0.08023674245275902</v>
      </c>
      <c r="J200" t="s">
        <v>776</v>
      </c>
      <c r="K200" t="s">
        <v>776</v>
      </c>
      <c r="L200">
        <v>5.68</v>
      </c>
      <c r="M200">
        <v>2.6</v>
      </c>
      <c r="N200">
        <v>0.4577464788732395</v>
      </c>
      <c r="O200">
        <v>10</v>
      </c>
      <c r="P200">
        <v>0.05010553388446692</v>
      </c>
      <c r="Q200">
        <v>0.063215842327352</v>
      </c>
      <c r="R200" t="s">
        <v>779</v>
      </c>
      <c r="S200" t="s">
        <v>784</v>
      </c>
      <c r="T200">
        <v>209395.314853</v>
      </c>
      <c r="U200" s="2">
        <v>44500</v>
      </c>
      <c r="V200" t="s">
        <v>795</v>
      </c>
    </row>
    <row r="201" spans="1:22">
      <c r="A201" s="1" t="s">
        <v>221</v>
      </c>
      <c r="B201">
        <f>HYPERLINK("https://www.suredividend.com/sure-analysis-UNH/","Unitedhealth Group Inc")</f>
        <v>0</v>
      </c>
      <c r="C201">
        <v>459.9</v>
      </c>
      <c r="D201">
        <v>358</v>
      </c>
      <c r="E201">
        <v>1.28463687150838</v>
      </c>
      <c r="F201">
        <v>0.01261143726897152</v>
      </c>
      <c r="G201">
        <v>-0.04886114499778094</v>
      </c>
      <c r="H201">
        <v>0.12</v>
      </c>
      <c r="I201">
        <v>0.07964398844472553</v>
      </c>
      <c r="J201" t="s">
        <v>776</v>
      </c>
      <c r="K201" t="s">
        <v>370</v>
      </c>
      <c r="L201">
        <v>18.65</v>
      </c>
      <c r="M201">
        <v>5.8</v>
      </c>
      <c r="N201">
        <v>0.3109919571045577</v>
      </c>
      <c r="O201">
        <v>12</v>
      </c>
      <c r="P201">
        <v>0.1400529846685179</v>
      </c>
      <c r="Q201">
        <v>0.345819149845738</v>
      </c>
      <c r="R201" t="s">
        <v>779</v>
      </c>
      <c r="S201" t="s">
        <v>784</v>
      </c>
      <c r="T201">
        <v>437348.627938</v>
      </c>
      <c r="U201" s="2">
        <v>44491</v>
      </c>
      <c r="V201" t="s">
        <v>798</v>
      </c>
    </row>
    <row r="202" spans="1:22">
      <c r="A202" s="1" t="s">
        <v>222</v>
      </c>
      <c r="B202">
        <f>HYPERLINK("https://www.suredividend.com/sure-analysis-RBGLY/","Reckitt Benckiser Group Plc")</f>
        <v>0</v>
      </c>
      <c r="C202">
        <v>16.61</v>
      </c>
      <c r="D202">
        <v>18</v>
      </c>
      <c r="E202">
        <v>0.9227777777777777</v>
      </c>
      <c r="F202">
        <v>0.02649006622516556</v>
      </c>
      <c r="G202">
        <v>0.01620323830602</v>
      </c>
      <c r="H202">
        <v>0.04</v>
      </c>
      <c r="I202">
        <v>0.07962374625693469</v>
      </c>
      <c r="J202" t="s">
        <v>776</v>
      </c>
      <c r="K202" t="s">
        <v>776</v>
      </c>
      <c r="L202">
        <v>1.2</v>
      </c>
      <c r="M202">
        <v>0.44</v>
      </c>
      <c r="N202">
        <v>0.3666666666666667</v>
      </c>
      <c r="O202">
        <v>0</v>
      </c>
      <c r="P202">
        <v>0.03792181163298758</v>
      </c>
      <c r="Q202">
        <v>-0.062111801242236</v>
      </c>
      <c r="R202" t="s">
        <v>779</v>
      </c>
      <c r="S202" t="s">
        <v>789</v>
      </c>
      <c r="T202">
        <v>59315.649015</v>
      </c>
      <c r="U202" s="2">
        <v>44497</v>
      </c>
      <c r="V202" t="s">
        <v>805</v>
      </c>
    </row>
    <row r="203" spans="1:22">
      <c r="A203" s="1" t="s">
        <v>223</v>
      </c>
      <c r="B203">
        <f>HYPERLINK("https://www.suredividend.com/sure-analysis-TTC/","Toro Co.")</f>
        <v>0</v>
      </c>
      <c r="C203">
        <v>100.45</v>
      </c>
      <c r="D203">
        <v>83</v>
      </c>
      <c r="E203">
        <v>1.210240963855422</v>
      </c>
      <c r="F203">
        <v>0.01045296167247387</v>
      </c>
      <c r="G203">
        <v>-0.03744483164644308</v>
      </c>
      <c r="H203">
        <v>0.11</v>
      </c>
      <c r="I203">
        <v>0.07899485660243122</v>
      </c>
      <c r="J203" t="s">
        <v>776</v>
      </c>
      <c r="K203" t="s">
        <v>514</v>
      </c>
      <c r="L203">
        <v>3.55</v>
      </c>
      <c r="M203">
        <v>1.05</v>
      </c>
      <c r="N203">
        <v>0.295774647887324</v>
      </c>
      <c r="O203">
        <v>11</v>
      </c>
      <c r="P203">
        <v>0.09986525071768737</v>
      </c>
      <c r="Q203">
        <v>0.207075887721451</v>
      </c>
      <c r="R203" t="s">
        <v>779</v>
      </c>
      <c r="S203" t="s">
        <v>786</v>
      </c>
      <c r="T203">
        <v>10722.171911</v>
      </c>
      <c r="U203" s="2">
        <v>44453</v>
      </c>
      <c r="V203" t="s">
        <v>801</v>
      </c>
    </row>
    <row r="204" spans="1:22">
      <c r="A204" s="1" t="s">
        <v>224</v>
      </c>
      <c r="B204">
        <f>HYPERLINK("https://www.suredividend.com/sure-analysis-IBM/","International Business Machines Corp.")</f>
        <v>0</v>
      </c>
      <c r="C204">
        <v>120.22</v>
      </c>
      <c r="D204">
        <v>114</v>
      </c>
      <c r="E204">
        <v>1.054561403508772</v>
      </c>
      <c r="F204">
        <v>0.0545666278489436</v>
      </c>
      <c r="G204">
        <v>-0.01056874401874364</v>
      </c>
      <c r="H204">
        <v>0.04</v>
      </c>
      <c r="I204">
        <v>0.07878004581461839</v>
      </c>
      <c r="J204" t="s">
        <v>776</v>
      </c>
      <c r="K204" t="s">
        <v>775</v>
      </c>
      <c r="L204">
        <v>10.32</v>
      </c>
      <c r="M204">
        <v>6.56</v>
      </c>
      <c r="N204">
        <v>0.6356589147286821</v>
      </c>
      <c r="O204">
        <v>26</v>
      </c>
      <c r="P204">
        <v>0.03996760299438673</v>
      </c>
      <c r="Q204">
        <v>0.09867931200946901</v>
      </c>
      <c r="R204" t="s">
        <v>779</v>
      </c>
      <c r="S204" t="s">
        <v>785</v>
      </c>
      <c r="T204">
        <v>108320.280822</v>
      </c>
      <c r="U204" s="2">
        <v>44494</v>
      </c>
      <c r="V204" t="s">
        <v>800</v>
      </c>
    </row>
    <row r="205" spans="1:22">
      <c r="A205" s="1" t="s">
        <v>225</v>
      </c>
      <c r="B205">
        <f>HYPERLINK("https://www.suredividend.com/sure-analysis-RY/","Royal Bank Of Canada")</f>
        <v>0</v>
      </c>
      <c r="C205">
        <v>105.94</v>
      </c>
      <c r="D205">
        <v>94.92</v>
      </c>
      <c r="E205">
        <v>1.116097766540244</v>
      </c>
      <c r="F205">
        <v>0.03171606569756466</v>
      </c>
      <c r="G205">
        <v>-0.02172816034271952</v>
      </c>
      <c r="H205">
        <v>0.07000000000000001</v>
      </c>
      <c r="I205">
        <v>0.07854831977228094</v>
      </c>
      <c r="J205" t="s">
        <v>776</v>
      </c>
      <c r="K205" t="s">
        <v>776</v>
      </c>
      <c r="L205">
        <v>7.83</v>
      </c>
      <c r="M205">
        <v>3.36</v>
      </c>
      <c r="N205">
        <v>0.4291187739463601</v>
      </c>
      <c r="O205">
        <v>10</v>
      </c>
      <c r="P205">
        <v>0.08317764845110265</v>
      </c>
      <c r="Q205">
        <v>0.467837695221308</v>
      </c>
      <c r="R205" t="s">
        <v>779</v>
      </c>
      <c r="S205" t="s">
        <v>790</v>
      </c>
      <c r="T205">
        <v>151305.7392</v>
      </c>
      <c r="U205" s="2">
        <v>44444</v>
      </c>
      <c r="V205" t="s">
        <v>804</v>
      </c>
    </row>
    <row r="206" spans="1:22">
      <c r="A206" s="1" t="s">
        <v>226</v>
      </c>
      <c r="B206">
        <f>HYPERLINK("https://www.suredividend.com/sure-analysis-SNA/","Snap-on, Inc.")</f>
        <v>0</v>
      </c>
      <c r="C206">
        <v>218.09</v>
      </c>
      <c r="D206">
        <v>231</v>
      </c>
      <c r="E206">
        <v>0.9441125541125541</v>
      </c>
      <c r="F206">
        <v>0.02604429364024027</v>
      </c>
      <c r="G206">
        <v>0.01156837986584525</v>
      </c>
      <c r="H206">
        <v>0.04</v>
      </c>
      <c r="I206">
        <v>0.07769881410548596</v>
      </c>
      <c r="J206" t="s">
        <v>776</v>
      </c>
      <c r="K206" t="s">
        <v>776</v>
      </c>
      <c r="L206">
        <v>14.45</v>
      </c>
      <c r="M206">
        <v>5.68</v>
      </c>
      <c r="N206">
        <v>0.3930795847750865</v>
      </c>
      <c r="O206">
        <v>12</v>
      </c>
      <c r="P206">
        <v>0.08010910720791475</v>
      </c>
      <c r="Q206">
        <v>0.308021578551003</v>
      </c>
      <c r="R206" t="s">
        <v>779</v>
      </c>
      <c r="S206" t="s">
        <v>786</v>
      </c>
      <c r="T206">
        <v>11542.911643</v>
      </c>
      <c r="U206" s="2">
        <v>44498</v>
      </c>
      <c r="V206" t="s">
        <v>798</v>
      </c>
    </row>
    <row r="207" spans="1:22">
      <c r="A207" s="1" t="s">
        <v>227</v>
      </c>
      <c r="B207">
        <f>HYPERLINK("https://www.suredividend.com/sure-analysis-HD/","Home Depot, Inc.")</f>
        <v>0</v>
      </c>
      <c r="C207">
        <v>368.58</v>
      </c>
      <c r="D207">
        <v>320</v>
      </c>
      <c r="E207">
        <v>1.1518125</v>
      </c>
      <c r="F207">
        <v>0.01790656031255087</v>
      </c>
      <c r="G207">
        <v>-0.02787157398728657</v>
      </c>
      <c r="H207">
        <v>0.09</v>
      </c>
      <c r="I207">
        <v>0.0775300549196567</v>
      </c>
      <c r="J207" t="s">
        <v>776</v>
      </c>
      <c r="K207" t="s">
        <v>370</v>
      </c>
      <c r="L207">
        <v>14.55</v>
      </c>
      <c r="M207">
        <v>6.6</v>
      </c>
      <c r="N207">
        <v>0.4536082474226804</v>
      </c>
      <c r="O207">
        <v>12</v>
      </c>
      <c r="P207">
        <v>0.08989440052011655</v>
      </c>
      <c r="Q207">
        <v>0.403449915789218</v>
      </c>
      <c r="R207" t="s">
        <v>779</v>
      </c>
      <c r="S207" t="s">
        <v>788</v>
      </c>
      <c r="T207">
        <v>391168.700672</v>
      </c>
      <c r="U207" s="2">
        <v>44427</v>
      </c>
      <c r="V207" t="s">
        <v>801</v>
      </c>
    </row>
    <row r="208" spans="1:22">
      <c r="A208" s="1" t="s">
        <v>228</v>
      </c>
      <c r="B208">
        <f>HYPERLINK("https://www.suredividend.com/sure-analysis-FMS/","Fresenius Medical Care AG &amp; Co. KGaA")</f>
        <v>0</v>
      </c>
      <c r="C208">
        <v>33.78</v>
      </c>
      <c r="D208">
        <v>33</v>
      </c>
      <c r="E208">
        <v>1.023636363636364</v>
      </c>
      <c r="F208">
        <v>0.02427471876850207</v>
      </c>
      <c r="G208">
        <v>-0.00466137190876037</v>
      </c>
      <c r="H208">
        <v>0.06</v>
      </c>
      <c r="I208">
        <v>0.07752856019656718</v>
      </c>
      <c r="J208" t="s">
        <v>776</v>
      </c>
      <c r="K208" t="s">
        <v>776</v>
      </c>
      <c r="L208">
        <v>2.04</v>
      </c>
      <c r="M208">
        <v>0.82</v>
      </c>
      <c r="N208">
        <v>0.4019607843137254</v>
      </c>
      <c r="O208">
        <v>24</v>
      </c>
      <c r="P208">
        <v>0.06051243834129849</v>
      </c>
      <c r="Q208">
        <v>-0.198765138921871</v>
      </c>
      <c r="R208" t="s">
        <v>779</v>
      </c>
      <c r="S208" t="s">
        <v>784</v>
      </c>
      <c r="T208">
        <v>19771.249223</v>
      </c>
      <c r="U208" s="2">
        <v>44503</v>
      </c>
      <c r="V208" t="s">
        <v>795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111.21</v>
      </c>
      <c r="D209">
        <v>110</v>
      </c>
      <c r="E209">
        <v>1.011</v>
      </c>
      <c r="F209">
        <v>0.02976351047567665</v>
      </c>
      <c r="G209">
        <v>-0.002185596106707544</v>
      </c>
      <c r="H209">
        <v>0.05</v>
      </c>
      <c r="I209">
        <v>0.0763602923570379</v>
      </c>
      <c r="J209" t="s">
        <v>776</v>
      </c>
      <c r="K209" t="s">
        <v>776</v>
      </c>
      <c r="L209">
        <v>9.779999999999999</v>
      </c>
      <c r="M209">
        <v>3.31</v>
      </c>
      <c r="N209">
        <v>0.3384458077709612</v>
      </c>
      <c r="O209">
        <v>9</v>
      </c>
      <c r="P209">
        <v>0.06850014718252129</v>
      </c>
      <c r="Q209">
        <v>0.78036497243557</v>
      </c>
      <c r="R209" t="s">
        <v>779</v>
      </c>
      <c r="S209" t="s">
        <v>790</v>
      </c>
      <c r="T209">
        <v>72603.878212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HYPERLINK("https://www.suredividend.com/sure-analysis-HBI/","Hanesbrands Inc")</f>
        <v>0</v>
      </c>
      <c r="C210">
        <v>17.99</v>
      </c>
      <c r="D210">
        <v>17</v>
      </c>
      <c r="E210">
        <v>1.058235294117647</v>
      </c>
      <c r="F210">
        <v>0.03335186214563646</v>
      </c>
      <c r="G210">
        <v>-0.01125670457332928</v>
      </c>
      <c r="H210">
        <v>0.06</v>
      </c>
      <c r="I210">
        <v>0.07559258086829934</v>
      </c>
      <c r="J210" t="s">
        <v>776</v>
      </c>
      <c r="K210" t="s">
        <v>776</v>
      </c>
      <c r="L210">
        <v>1.74</v>
      </c>
      <c r="M210">
        <v>0.6</v>
      </c>
      <c r="N210">
        <v>0.3448275862068965</v>
      </c>
      <c r="O210">
        <v>0</v>
      </c>
      <c r="P210">
        <v>0.01613736474159566</v>
      </c>
      <c r="Q210">
        <v>0.456717669251729</v>
      </c>
      <c r="R210" t="s">
        <v>779</v>
      </c>
      <c r="S210" t="s">
        <v>788</v>
      </c>
      <c r="T210">
        <v>6310.12555</v>
      </c>
      <c r="U210" s="2">
        <v>44434</v>
      </c>
      <c r="V210" t="s">
        <v>802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119.28</v>
      </c>
      <c r="D211">
        <v>113</v>
      </c>
      <c r="E211">
        <v>1.055575221238938</v>
      </c>
      <c r="F211">
        <v>0.03881623071763917</v>
      </c>
      <c r="G211">
        <v>-0.0107588751473664</v>
      </c>
      <c r="H211">
        <v>0.05</v>
      </c>
      <c r="I211">
        <v>0.07480294183424463</v>
      </c>
      <c r="J211" t="s">
        <v>776</v>
      </c>
      <c r="K211" t="s">
        <v>775</v>
      </c>
      <c r="L211">
        <v>11.3</v>
      </c>
      <c r="M211">
        <v>4.63</v>
      </c>
      <c r="N211">
        <v>0.4097345132743362</v>
      </c>
      <c r="O211">
        <v>10</v>
      </c>
      <c r="P211">
        <v>0.05002901032002183</v>
      </c>
      <c r="Q211">
        <v>0.595132225602621</v>
      </c>
      <c r="R211" t="s">
        <v>779</v>
      </c>
      <c r="S211" t="s">
        <v>790</v>
      </c>
      <c r="T211">
        <v>53714.639921</v>
      </c>
      <c r="U211" s="2">
        <v>44442</v>
      </c>
      <c r="V211" t="s">
        <v>804</v>
      </c>
    </row>
    <row r="212" spans="1:22">
      <c r="A212" s="1" t="s">
        <v>232</v>
      </c>
      <c r="B212">
        <f>HYPERLINK("https://www.suredividend.com/sure-analysis-TXN/","Texas Instruments Inc.")</f>
        <v>0</v>
      </c>
      <c r="C212">
        <v>187.02</v>
      </c>
      <c r="D212">
        <v>162</v>
      </c>
      <c r="E212">
        <v>1.154444444444445</v>
      </c>
      <c r="F212">
        <v>0.02459629986097743</v>
      </c>
      <c r="G212">
        <v>-0.02831523751463016</v>
      </c>
      <c r="H212">
        <v>0.08</v>
      </c>
      <c r="I212">
        <v>0.07464210294019957</v>
      </c>
      <c r="J212" t="s">
        <v>776</v>
      </c>
      <c r="K212" t="s">
        <v>370</v>
      </c>
      <c r="L212">
        <v>8.1</v>
      </c>
      <c r="M212">
        <v>4.6</v>
      </c>
      <c r="N212">
        <v>0.5679012345679012</v>
      </c>
      <c r="O212">
        <v>18</v>
      </c>
      <c r="P212">
        <v>0.09007175117662958</v>
      </c>
      <c r="Q212">
        <v>0.250020474416806</v>
      </c>
      <c r="R212" t="s">
        <v>779</v>
      </c>
      <c r="S212" t="s">
        <v>785</v>
      </c>
      <c r="T212">
        <v>176199.534507</v>
      </c>
      <c r="U212" s="2">
        <v>44504</v>
      </c>
      <c r="V212" t="s">
        <v>797</v>
      </c>
    </row>
    <row r="213" spans="1:22">
      <c r="A213" s="1" t="s">
        <v>233</v>
      </c>
      <c r="B213">
        <f>HYPERLINK("https://www.suredividend.com/sure-analysis-PBCT/","People`s United Financial Inc")</f>
        <v>0</v>
      </c>
      <c r="C213">
        <v>18.08</v>
      </c>
      <c r="D213">
        <v>18</v>
      </c>
      <c r="E213">
        <v>1.004444444444444</v>
      </c>
      <c r="F213">
        <v>0.04037610619469027</v>
      </c>
      <c r="G213">
        <v>-0.0008865262168032961</v>
      </c>
      <c r="H213">
        <v>0.04</v>
      </c>
      <c r="I213">
        <v>0.07285646890961961</v>
      </c>
      <c r="J213" t="s">
        <v>776</v>
      </c>
      <c r="K213" t="s">
        <v>775</v>
      </c>
      <c r="L213">
        <v>1.33</v>
      </c>
      <c r="M213">
        <v>0.73</v>
      </c>
      <c r="N213">
        <v>0.5488721804511277</v>
      </c>
      <c r="O213">
        <v>29</v>
      </c>
      <c r="P213">
        <v>0.01333804570728625</v>
      </c>
      <c r="Q213">
        <v>0.466119533790369</v>
      </c>
      <c r="R213" t="s">
        <v>779</v>
      </c>
      <c r="S213" t="s">
        <v>790</v>
      </c>
      <c r="T213">
        <v>7660.390472</v>
      </c>
      <c r="U213" s="2">
        <v>44495</v>
      </c>
      <c r="V213" t="s">
        <v>802</v>
      </c>
    </row>
    <row r="214" spans="1:22">
      <c r="A214" s="1" t="s">
        <v>234</v>
      </c>
      <c r="B214">
        <f>HYPERLINK("https://www.suredividend.com/sure-analysis-CMI/","Cummins Inc.")</f>
        <v>0</v>
      </c>
      <c r="C214">
        <v>237.71</v>
      </c>
      <c r="D214">
        <v>207</v>
      </c>
      <c r="E214">
        <v>1.148357487922705</v>
      </c>
      <c r="F214">
        <v>0.02439947835597997</v>
      </c>
      <c r="G214">
        <v>-0.02728731678825946</v>
      </c>
      <c r="H214">
        <v>0.08</v>
      </c>
      <c r="I214">
        <v>0.07280599698702495</v>
      </c>
      <c r="J214" t="s">
        <v>776</v>
      </c>
      <c r="K214" t="s">
        <v>776</v>
      </c>
      <c r="L214">
        <v>15.92</v>
      </c>
      <c r="M214">
        <v>5.8</v>
      </c>
      <c r="N214">
        <v>0.364321608040201</v>
      </c>
      <c r="O214">
        <v>16</v>
      </c>
      <c r="P214">
        <v>0.0499309672496191</v>
      </c>
      <c r="Q214">
        <v>0.055415101640674</v>
      </c>
      <c r="R214" t="s">
        <v>779</v>
      </c>
      <c r="S214" t="s">
        <v>786</v>
      </c>
      <c r="T214">
        <v>33784.122498</v>
      </c>
      <c r="U214" s="2">
        <v>44502</v>
      </c>
      <c r="V214" t="s">
        <v>795</v>
      </c>
    </row>
    <row r="215" spans="1:22">
      <c r="A215" s="1" t="s">
        <v>235</v>
      </c>
      <c r="B215">
        <f>HYPERLINK("https://www.suredividend.com/sure-analysis-MET/","Metlife Inc")</f>
        <v>0</v>
      </c>
      <c r="C215">
        <v>63.35</v>
      </c>
      <c r="D215">
        <v>68</v>
      </c>
      <c r="E215">
        <v>0.9316176470588236</v>
      </c>
      <c r="F215">
        <v>0.0303078137332281</v>
      </c>
      <c r="G215">
        <v>0.014267380922524</v>
      </c>
      <c r="H215">
        <v>0.03</v>
      </c>
      <c r="I215">
        <v>0.07193370893405215</v>
      </c>
      <c r="J215" t="s">
        <v>776</v>
      </c>
      <c r="K215" t="s">
        <v>775</v>
      </c>
      <c r="L215">
        <v>7.5</v>
      </c>
      <c r="M215">
        <v>1.92</v>
      </c>
      <c r="N215">
        <v>0.256</v>
      </c>
      <c r="O215">
        <v>9</v>
      </c>
      <c r="P215">
        <v>0.0403582746309219</v>
      </c>
      <c r="Q215">
        <v>0.446768034628692</v>
      </c>
      <c r="R215" t="s">
        <v>779</v>
      </c>
      <c r="S215" t="s">
        <v>790</v>
      </c>
      <c r="T215">
        <v>53958.833119</v>
      </c>
      <c r="U215" s="2">
        <v>44417</v>
      </c>
      <c r="V215" t="s">
        <v>799</v>
      </c>
    </row>
    <row r="216" spans="1:22">
      <c r="A216" s="1" t="s">
        <v>236</v>
      </c>
      <c r="B216">
        <f>HYPERLINK("https://www.suredividend.com/sure-analysis-EQIX/","Equinix Inc")</f>
        <v>0</v>
      </c>
      <c r="C216">
        <v>781.41</v>
      </c>
      <c r="D216">
        <v>638</v>
      </c>
      <c r="E216">
        <v>1.224780564263323</v>
      </c>
      <c r="F216">
        <v>0.01469139120308161</v>
      </c>
      <c r="G216">
        <v>-0.03974109612827526</v>
      </c>
      <c r="H216">
        <v>0.1</v>
      </c>
      <c r="I216">
        <v>0.07168102700485912</v>
      </c>
      <c r="J216" t="s">
        <v>776</v>
      </c>
      <c r="K216" t="s">
        <v>514</v>
      </c>
      <c r="L216">
        <v>27.14</v>
      </c>
      <c r="M216">
        <v>11.48</v>
      </c>
      <c r="N216">
        <v>0.4229918938835667</v>
      </c>
      <c r="O216">
        <v>5</v>
      </c>
      <c r="P216">
        <v>0.1000160063233719</v>
      </c>
      <c r="Q216">
        <v>0.09004740631595901</v>
      </c>
      <c r="R216" t="s">
        <v>781</v>
      </c>
      <c r="S216" t="s">
        <v>793</v>
      </c>
      <c r="T216">
        <v>71833.96894799999</v>
      </c>
      <c r="U216" s="2">
        <v>44505</v>
      </c>
      <c r="V216" t="s">
        <v>801</v>
      </c>
    </row>
    <row r="217" spans="1:22">
      <c r="A217" s="1" t="s">
        <v>237</v>
      </c>
      <c r="B217">
        <f>HYPERLINK("https://www.suredividend.com/sure-analysis-UVV/","Universal Corp.")</f>
        <v>0</v>
      </c>
      <c r="C217">
        <v>49.67</v>
      </c>
      <c r="D217">
        <v>50</v>
      </c>
      <c r="E217">
        <v>0.9934000000000001</v>
      </c>
      <c r="F217">
        <v>0.0628145762029394</v>
      </c>
      <c r="G217">
        <v>0.001325252633974872</v>
      </c>
      <c r="H217">
        <v>0.015</v>
      </c>
      <c r="I217">
        <v>0.07084727307033711</v>
      </c>
      <c r="J217" t="s">
        <v>776</v>
      </c>
      <c r="K217" t="s">
        <v>775</v>
      </c>
      <c r="L217">
        <v>4.5</v>
      </c>
      <c r="M217">
        <v>3.12</v>
      </c>
      <c r="N217">
        <v>0.6933333333333334</v>
      </c>
      <c r="O217">
        <v>50</v>
      </c>
      <c r="P217">
        <v>0.01005227214699711</v>
      </c>
      <c r="Q217">
        <v>0.231861285286004</v>
      </c>
      <c r="R217" t="s">
        <v>779</v>
      </c>
      <c r="S217" t="s">
        <v>789</v>
      </c>
      <c r="T217">
        <v>1215.358696</v>
      </c>
      <c r="U217" s="2">
        <v>44440</v>
      </c>
      <c r="V217" t="s">
        <v>797</v>
      </c>
    </row>
    <row r="218" spans="1:22">
      <c r="A218" s="1" t="s">
        <v>238</v>
      </c>
      <c r="B218">
        <f>HYPERLINK("https://www.suredividend.com/sure-analysis-NTIOF/","National Bank of Canada")</f>
        <v>0</v>
      </c>
      <c r="C218">
        <v>83.90770000000001</v>
      </c>
      <c r="D218">
        <v>77</v>
      </c>
      <c r="E218">
        <v>1.08971038961039</v>
      </c>
      <c r="F218">
        <v>0.02669600048624858</v>
      </c>
      <c r="G218">
        <v>-0.01703561721102576</v>
      </c>
      <c r="H218">
        <v>0.06</v>
      </c>
      <c r="I218">
        <v>0.06917578701228844</v>
      </c>
      <c r="J218" t="s">
        <v>776</v>
      </c>
      <c r="K218" t="s">
        <v>776</v>
      </c>
      <c r="L218">
        <v>6.73</v>
      </c>
      <c r="M218">
        <v>2.24</v>
      </c>
      <c r="N218">
        <v>0.3328380386329866</v>
      </c>
      <c r="O218">
        <v>9</v>
      </c>
      <c r="P218">
        <v>0.0799150058822331</v>
      </c>
      <c r="Q218">
        <v>0.6035898415123161</v>
      </c>
      <c r="R218" t="s">
        <v>779</v>
      </c>
      <c r="S218" t="s">
        <v>790</v>
      </c>
      <c r="T218">
        <v>28366.156721</v>
      </c>
      <c r="U218" s="2">
        <v>44436</v>
      </c>
      <c r="V218" t="s">
        <v>804</v>
      </c>
    </row>
    <row r="219" spans="1:22">
      <c r="A219" s="1" t="s">
        <v>239</v>
      </c>
      <c r="B219">
        <f>HYPERLINK("https://www.suredividend.com/sure-analysis-PB/","Prosperity Bancshares Inc.")</f>
        <v>0</v>
      </c>
      <c r="C219">
        <v>77.22</v>
      </c>
      <c r="D219">
        <v>82</v>
      </c>
      <c r="E219">
        <v>0.9417073170731707</v>
      </c>
      <c r="F219">
        <v>0.02693602693602694</v>
      </c>
      <c r="G219">
        <v>0.01208458692025904</v>
      </c>
      <c r="H219">
        <v>0.03</v>
      </c>
      <c r="I219">
        <v>0.06825273875439097</v>
      </c>
      <c r="J219" t="s">
        <v>776</v>
      </c>
      <c r="K219" t="s">
        <v>776</v>
      </c>
      <c r="L219">
        <v>5.75</v>
      </c>
      <c r="M219">
        <v>2.08</v>
      </c>
      <c r="N219">
        <v>0.3617391304347826</v>
      </c>
      <c r="O219">
        <v>18</v>
      </c>
      <c r="P219">
        <v>0.05820339229333826</v>
      </c>
      <c r="Q219">
        <v>0.276316899905182</v>
      </c>
      <c r="R219" t="s">
        <v>779</v>
      </c>
      <c r="S219" t="s">
        <v>790</v>
      </c>
      <c r="T219">
        <v>7108.682979</v>
      </c>
      <c r="U219" s="2">
        <v>44498</v>
      </c>
      <c r="V219" t="s">
        <v>802</v>
      </c>
    </row>
    <row r="220" spans="1:22">
      <c r="A220" s="1" t="s">
        <v>240</v>
      </c>
      <c r="B220">
        <f>HYPERLINK("https://www.suredividend.com/sure-analysis-LNT/","Alliant Energy Corp.")</f>
        <v>0</v>
      </c>
      <c r="C220">
        <v>56.08</v>
      </c>
      <c r="D220">
        <v>51</v>
      </c>
      <c r="E220">
        <v>1.099607843137255</v>
      </c>
      <c r="F220">
        <v>0.02870898716119829</v>
      </c>
      <c r="G220">
        <v>-0.01881153433323457</v>
      </c>
      <c r="H220">
        <v>0.06</v>
      </c>
      <c r="I220">
        <v>0.06782003830412164</v>
      </c>
      <c r="J220" t="s">
        <v>776</v>
      </c>
      <c r="K220" t="s">
        <v>776</v>
      </c>
      <c r="L220">
        <v>2.57</v>
      </c>
      <c r="M220">
        <v>1.61</v>
      </c>
      <c r="N220">
        <v>0.6264591439688717</v>
      </c>
      <c r="O220">
        <v>18</v>
      </c>
      <c r="P220">
        <v>0.05955258842469102</v>
      </c>
      <c r="Q220">
        <v>0.008080282691681</v>
      </c>
      <c r="R220" t="s">
        <v>779</v>
      </c>
      <c r="S220" t="s">
        <v>791</v>
      </c>
      <c r="T220">
        <v>13871.792958</v>
      </c>
      <c r="U220" s="2">
        <v>44436</v>
      </c>
      <c r="V220" t="s">
        <v>796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88.26000000000001</v>
      </c>
      <c r="D221">
        <v>76</v>
      </c>
      <c r="E221">
        <v>1.161315789473684</v>
      </c>
      <c r="F221">
        <v>0.01676863811466123</v>
      </c>
      <c r="G221">
        <v>-0.02946783354291849</v>
      </c>
      <c r="H221">
        <v>0.08</v>
      </c>
      <c r="I221">
        <v>0.06724529783569944</v>
      </c>
      <c r="J221" t="s">
        <v>776</v>
      </c>
      <c r="K221" t="s">
        <v>370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0.032921278272426</v>
      </c>
      <c r="R221" t="s">
        <v>779</v>
      </c>
      <c r="S221" t="s">
        <v>786</v>
      </c>
      <c r="T221">
        <v>11758.80433</v>
      </c>
      <c r="U221" s="2">
        <v>44508</v>
      </c>
      <c r="V221" t="s">
        <v>800</v>
      </c>
    </row>
    <row r="222" spans="1:22">
      <c r="A222" s="1" t="s">
        <v>242</v>
      </c>
      <c r="B222">
        <f>HYPERLINK("https://www.suredividend.com/sure-analysis-DPZ/","Dominos Pizza Inc")</f>
        <v>0</v>
      </c>
      <c r="C222">
        <v>495.15</v>
      </c>
      <c r="D222">
        <v>370</v>
      </c>
      <c r="E222">
        <v>1.338243243243243</v>
      </c>
      <c r="F222">
        <v>0.007593658487327072</v>
      </c>
      <c r="G222">
        <v>-0.05660626428145976</v>
      </c>
      <c r="H222">
        <v>0.12</v>
      </c>
      <c r="I222">
        <v>0.06583495776704962</v>
      </c>
      <c r="J222" t="s">
        <v>776</v>
      </c>
      <c r="K222" t="s">
        <v>514</v>
      </c>
      <c r="L222">
        <v>13.9</v>
      </c>
      <c r="M222">
        <v>3.76</v>
      </c>
      <c r="N222">
        <v>0.2705035971223022</v>
      </c>
      <c r="O222">
        <v>8</v>
      </c>
      <c r="P222">
        <v>0.1480866941841668</v>
      </c>
      <c r="Q222">
        <v>0.335244051884044</v>
      </c>
      <c r="R222" t="s">
        <v>779</v>
      </c>
      <c r="S222" t="s">
        <v>788</v>
      </c>
      <c r="T222">
        <v>18138.444467</v>
      </c>
      <c r="U222" s="2">
        <v>44486</v>
      </c>
      <c r="V222" t="s">
        <v>802</v>
      </c>
    </row>
    <row r="223" spans="1:22">
      <c r="A223" s="1" t="s">
        <v>243</v>
      </c>
      <c r="B223">
        <f>HYPERLINK("https://www.suredividend.com/sure-analysis-FOXA/","Fox Corporation")</f>
        <v>0</v>
      </c>
      <c r="C223">
        <v>40.69</v>
      </c>
      <c r="D223">
        <v>42</v>
      </c>
      <c r="E223">
        <v>0.9688095238095238</v>
      </c>
      <c r="F223">
        <v>0.01130498894077169</v>
      </c>
      <c r="G223">
        <v>0.006357575387596404</v>
      </c>
      <c r="H223">
        <v>0.05</v>
      </c>
      <c r="I223">
        <v>0.06559154955415902</v>
      </c>
      <c r="J223" t="s">
        <v>776</v>
      </c>
      <c r="K223" t="s">
        <v>370</v>
      </c>
      <c r="L223">
        <v>2.77</v>
      </c>
      <c r="M223">
        <v>0.46</v>
      </c>
      <c r="N223">
        <v>0.1660649819494585</v>
      </c>
      <c r="O223">
        <v>0</v>
      </c>
      <c r="P223">
        <v>0</v>
      </c>
      <c r="Q223">
        <v>0.56293974547291</v>
      </c>
      <c r="R223" t="s">
        <v>779</v>
      </c>
      <c r="S223" t="s">
        <v>783</v>
      </c>
      <c r="T223">
        <v>22383.181705</v>
      </c>
      <c r="U223" s="2">
        <v>44425</v>
      </c>
      <c r="V223" t="s">
        <v>796</v>
      </c>
    </row>
    <row r="224" spans="1:22">
      <c r="A224" s="1" t="s">
        <v>244</v>
      </c>
      <c r="B224">
        <f>HYPERLINK("https://www.suredividend.com/sure-analysis-EIX/","Edison International")</f>
        <v>0</v>
      </c>
      <c r="C224">
        <v>65.45999999999999</v>
      </c>
      <c r="D224">
        <v>56.7</v>
      </c>
      <c r="E224">
        <v>1.154497354497354</v>
      </c>
      <c r="F224">
        <v>0.04048273754964864</v>
      </c>
      <c r="G224">
        <v>-0.0283241440460299</v>
      </c>
      <c r="H224">
        <v>0.057</v>
      </c>
      <c r="I224">
        <v>0.0642761312906901</v>
      </c>
      <c r="J224" t="s">
        <v>776</v>
      </c>
      <c r="K224" t="s">
        <v>775</v>
      </c>
      <c r="L224">
        <v>4.5</v>
      </c>
      <c r="M224">
        <v>2.65</v>
      </c>
      <c r="N224">
        <v>0.5888888888888889</v>
      </c>
      <c r="O224">
        <v>17</v>
      </c>
      <c r="P224">
        <v>0.03186567045409161</v>
      </c>
      <c r="Q224">
        <v>0.112034937865478</v>
      </c>
      <c r="R224" t="s">
        <v>779</v>
      </c>
      <c r="S224" t="s">
        <v>791</v>
      </c>
      <c r="T224">
        <v>24528.930015</v>
      </c>
      <c r="U224" s="2">
        <v>44411</v>
      </c>
      <c r="V224" t="s">
        <v>803</v>
      </c>
    </row>
    <row r="225" spans="1:22">
      <c r="A225" s="1" t="s">
        <v>245</v>
      </c>
      <c r="B225">
        <f>HYPERLINK("https://www.suredividend.com/sure-analysis-RBA/","Ritchie Bros Auctioneers Inc")</f>
        <v>0</v>
      </c>
      <c r="C225">
        <v>70.58</v>
      </c>
      <c r="D225">
        <v>55</v>
      </c>
      <c r="E225">
        <v>1.283272727272727</v>
      </c>
      <c r="F225">
        <v>0.01416831963729102</v>
      </c>
      <c r="G225">
        <v>-0.04865901505187398</v>
      </c>
      <c r="H225">
        <v>0.1</v>
      </c>
      <c r="I225">
        <v>0.0618794934714908</v>
      </c>
      <c r="J225" t="s">
        <v>776</v>
      </c>
      <c r="K225" t="s">
        <v>514</v>
      </c>
      <c r="L225">
        <v>1.68</v>
      </c>
      <c r="M225">
        <v>1</v>
      </c>
      <c r="N225">
        <v>0.5952380952380952</v>
      </c>
      <c r="O225">
        <v>17</v>
      </c>
      <c r="P225">
        <v>0.09993032380125255</v>
      </c>
      <c r="Q225">
        <v>0.029652956410532</v>
      </c>
      <c r="R225" t="s">
        <v>779</v>
      </c>
      <c r="S225" t="s">
        <v>786</v>
      </c>
      <c r="T225">
        <v>7810.572385</v>
      </c>
      <c r="U225" s="2">
        <v>44416</v>
      </c>
      <c r="V225" t="s">
        <v>794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64.19</v>
      </c>
      <c r="D226">
        <v>65</v>
      </c>
      <c r="E226">
        <v>0.9875384615384615</v>
      </c>
      <c r="F226">
        <v>0.05483720205639508</v>
      </c>
      <c r="G226">
        <v>0.002511114494203825</v>
      </c>
      <c r="H226">
        <v>0.01</v>
      </c>
      <c r="I226">
        <v>0.06062670012032045</v>
      </c>
      <c r="J226" t="s">
        <v>776</v>
      </c>
      <c r="K226" t="s">
        <v>775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0.9275232662166401</v>
      </c>
      <c r="R226" t="s">
        <v>779</v>
      </c>
      <c r="S226" t="s">
        <v>792</v>
      </c>
      <c r="T226">
        <v>280939.495436</v>
      </c>
      <c r="U226" s="2">
        <v>44501</v>
      </c>
      <c r="V226" t="s">
        <v>802</v>
      </c>
    </row>
    <row r="227" spans="1:22">
      <c r="A227" s="1" t="s">
        <v>247</v>
      </c>
      <c r="B227">
        <f>HYPERLINK("https://www.suredividend.com/sure-analysis-ORI/","Old Republic International Corp.")</f>
        <v>0</v>
      </c>
      <c r="C227">
        <v>25.45</v>
      </c>
      <c r="D227">
        <v>29</v>
      </c>
      <c r="E227">
        <v>0.8775862068965516</v>
      </c>
      <c r="F227">
        <v>0.03457760314341847</v>
      </c>
      <c r="G227">
        <v>0.02646002878729359</v>
      </c>
      <c r="H227">
        <v>0</v>
      </c>
      <c r="I227">
        <v>0.06024284390058665</v>
      </c>
      <c r="J227" t="s">
        <v>776</v>
      </c>
      <c r="K227" t="s">
        <v>776</v>
      </c>
      <c r="L227">
        <v>2.4</v>
      </c>
      <c r="M227">
        <v>0.88</v>
      </c>
      <c r="N227">
        <v>0.3666666666666667</v>
      </c>
      <c r="O227">
        <v>40</v>
      </c>
      <c r="P227">
        <v>0.04941452284458392</v>
      </c>
      <c r="Q227">
        <v>0.6553420047887141</v>
      </c>
      <c r="R227" t="s">
        <v>779</v>
      </c>
      <c r="S227" t="s">
        <v>790</v>
      </c>
      <c r="T227">
        <v>7853.283416</v>
      </c>
      <c r="U227" s="2">
        <v>44401</v>
      </c>
      <c r="V227" t="s">
        <v>798</v>
      </c>
    </row>
    <row r="228" spans="1:22">
      <c r="A228" s="1" t="s">
        <v>248</v>
      </c>
      <c r="B228">
        <f>HYPERLINK("https://www.suredividend.com/sure-analysis-RELX/","RELX Plc")</f>
        <v>0</v>
      </c>
      <c r="C228">
        <v>31.52</v>
      </c>
      <c r="D228">
        <v>28.6</v>
      </c>
      <c r="E228">
        <v>1.102097902097902</v>
      </c>
      <c r="F228">
        <v>0.02062182741116751</v>
      </c>
      <c r="G228">
        <v>-0.01925531127676672</v>
      </c>
      <c r="H228">
        <v>0.06</v>
      </c>
      <c r="I228">
        <v>0.05988319669675057</v>
      </c>
      <c r="J228" t="s">
        <v>776</v>
      </c>
      <c r="K228" t="s">
        <v>370</v>
      </c>
      <c r="L228">
        <v>1.19</v>
      </c>
      <c r="M228">
        <v>0.65</v>
      </c>
      <c r="N228">
        <v>0.546218487394958</v>
      </c>
      <c r="O228">
        <v>10</v>
      </c>
      <c r="P228">
        <v>0.06003737798448272</v>
      </c>
      <c r="Q228">
        <v>0.355747207934236</v>
      </c>
      <c r="R228" t="s">
        <v>779</v>
      </c>
      <c r="S228" t="s">
        <v>783</v>
      </c>
      <c r="T228">
        <v>61032.734143</v>
      </c>
      <c r="U228" s="2">
        <v>44411</v>
      </c>
      <c r="V228" t="s">
        <v>794</v>
      </c>
    </row>
    <row r="229" spans="1:22">
      <c r="A229" s="1" t="s">
        <v>249</v>
      </c>
      <c r="B229">
        <f>HYPERLINK("https://www.suredividend.com/sure-analysis-AMX/","America Movil S.A.B.DE C.V.")</f>
        <v>0</v>
      </c>
      <c r="C229">
        <v>18.1</v>
      </c>
      <c r="D229">
        <v>18</v>
      </c>
      <c r="E229">
        <v>1.005555555555556</v>
      </c>
      <c r="F229">
        <v>0.02209944751381215</v>
      </c>
      <c r="G229">
        <v>-0.001107422429819205</v>
      </c>
      <c r="H229">
        <v>0.04</v>
      </c>
      <c r="I229">
        <v>0.05972810889545621</v>
      </c>
      <c r="J229" t="s">
        <v>776</v>
      </c>
      <c r="K229" t="s">
        <v>370</v>
      </c>
      <c r="L229">
        <v>1.35</v>
      </c>
      <c r="M229">
        <v>0.4</v>
      </c>
      <c r="N229">
        <v>0.2962962962962963</v>
      </c>
      <c r="O229">
        <v>0</v>
      </c>
      <c r="P229">
        <v>0.04563955259127317</v>
      </c>
      <c r="Q229">
        <v>0.364908311502738</v>
      </c>
      <c r="R229" t="s">
        <v>779</v>
      </c>
      <c r="S229" t="s">
        <v>783</v>
      </c>
      <c r="T229">
        <v>40946.426885</v>
      </c>
      <c r="U229" s="2">
        <v>44494</v>
      </c>
      <c r="V229" t="s">
        <v>802</v>
      </c>
    </row>
    <row r="230" spans="1:22">
      <c r="A230" s="1" t="s">
        <v>250</v>
      </c>
      <c r="B230">
        <f>HYPERLINK("https://www.suredividend.com/sure-analysis-CSCO/","Cisco Systems, Inc.")</f>
        <v>0</v>
      </c>
      <c r="C230">
        <v>57.77</v>
      </c>
      <c r="D230">
        <v>51</v>
      </c>
      <c r="E230">
        <v>1.132745098039216</v>
      </c>
      <c r="F230">
        <v>0.02561883330448329</v>
      </c>
      <c r="G230">
        <v>-0.02462063896042033</v>
      </c>
      <c r="H230">
        <v>0.06</v>
      </c>
      <c r="I230">
        <v>0.05940175766747657</v>
      </c>
      <c r="J230" t="s">
        <v>776</v>
      </c>
      <c r="K230" t="s">
        <v>776</v>
      </c>
      <c r="L230">
        <v>3.42</v>
      </c>
      <c r="M230">
        <v>1.48</v>
      </c>
      <c r="N230">
        <v>0.4327485380116959</v>
      </c>
      <c r="O230">
        <v>11</v>
      </c>
      <c r="P230">
        <v>0.05993856763806171</v>
      </c>
      <c r="Q230">
        <v>0.547755700343286</v>
      </c>
      <c r="R230" t="s">
        <v>779</v>
      </c>
      <c r="S230" t="s">
        <v>785</v>
      </c>
      <c r="T230">
        <v>242260.499016</v>
      </c>
      <c r="U230" s="2">
        <v>44428</v>
      </c>
      <c r="V230" t="s">
        <v>795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113.17</v>
      </c>
      <c r="D231">
        <v>102</v>
      </c>
      <c r="E231">
        <v>1.109509803921569</v>
      </c>
      <c r="F231">
        <v>0.03128037465759477</v>
      </c>
      <c r="G231">
        <v>-0.0205691682228788</v>
      </c>
      <c r="H231">
        <v>0.05</v>
      </c>
      <c r="I231">
        <v>0.05898743332303402</v>
      </c>
      <c r="J231" t="s">
        <v>776</v>
      </c>
      <c r="K231" t="s">
        <v>776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0.06142789885394</v>
      </c>
      <c r="R231" t="s">
        <v>779</v>
      </c>
      <c r="S231" t="s">
        <v>791</v>
      </c>
      <c r="T231">
        <v>21794.318775</v>
      </c>
      <c r="U231" s="2">
        <v>44498</v>
      </c>
      <c r="V231" t="s">
        <v>802</v>
      </c>
    </row>
    <row r="232" spans="1:22">
      <c r="A232" s="1" t="s">
        <v>252</v>
      </c>
      <c r="B232">
        <f>HYPERLINK("https://www.suredividend.com/sure-analysis-CONE/","CyrusOne Inc")</f>
        <v>0</v>
      </c>
      <c r="C232">
        <v>82.05</v>
      </c>
      <c r="D232">
        <v>73</v>
      </c>
      <c r="E232">
        <v>1.123972602739726</v>
      </c>
      <c r="F232">
        <v>0.02535039609993906</v>
      </c>
      <c r="G232">
        <v>-0.02310282221538051</v>
      </c>
      <c r="H232">
        <v>0.06</v>
      </c>
      <c r="I232">
        <v>0.05890156395470258</v>
      </c>
      <c r="J232" t="s">
        <v>776</v>
      </c>
      <c r="K232" t="s">
        <v>370</v>
      </c>
      <c r="L232">
        <v>4.06</v>
      </c>
      <c r="M232">
        <v>2.08</v>
      </c>
      <c r="N232">
        <v>0.5123152709359606</v>
      </c>
      <c r="O232">
        <v>8</v>
      </c>
      <c r="P232">
        <v>0.03496752704080697</v>
      </c>
      <c r="Q232">
        <v>0.208418839335829</v>
      </c>
      <c r="R232" t="s">
        <v>781</v>
      </c>
      <c r="S232" t="s">
        <v>793</v>
      </c>
      <c r="T232">
        <v>10328.120614</v>
      </c>
      <c r="U232" s="2">
        <v>44500</v>
      </c>
      <c r="V232" t="s">
        <v>794</v>
      </c>
    </row>
    <row r="233" spans="1:22">
      <c r="A233" s="1" t="s">
        <v>253</v>
      </c>
      <c r="B233">
        <f>HYPERLINK("https://www.suredividend.com/sure-analysis-K/","Kellogg Co")</f>
        <v>0</v>
      </c>
      <c r="C233">
        <v>63.52</v>
      </c>
      <c r="D233">
        <v>62</v>
      </c>
      <c r="E233">
        <v>1.024516129032258</v>
      </c>
      <c r="F233">
        <v>0.03652392947103274</v>
      </c>
      <c r="G233">
        <v>-0.004832372713969302</v>
      </c>
      <c r="H233">
        <v>0.03</v>
      </c>
      <c r="I233">
        <v>0.05889788771649518</v>
      </c>
      <c r="J233" t="s">
        <v>776</v>
      </c>
      <c r="K233" t="s">
        <v>776</v>
      </c>
      <c r="L233">
        <v>4.1</v>
      </c>
      <c r="M233">
        <v>2.32</v>
      </c>
      <c r="N233">
        <v>0.5658536585365854</v>
      </c>
      <c r="O233">
        <v>17</v>
      </c>
      <c r="P233">
        <v>0.03003707999335203</v>
      </c>
      <c r="Q233">
        <v>0.037425786310726</v>
      </c>
      <c r="R233" t="s">
        <v>779</v>
      </c>
      <c r="S233" t="s">
        <v>789</v>
      </c>
      <c r="T233">
        <v>21470.269221</v>
      </c>
      <c r="U233" s="2">
        <v>44436</v>
      </c>
      <c r="V233" t="s">
        <v>798</v>
      </c>
    </row>
    <row r="234" spans="1:22">
      <c r="A234" s="1" t="s">
        <v>254</v>
      </c>
      <c r="B234">
        <f>HYPERLINK("https://www.suredividend.com/sure-analysis-ARTNA/","Artesian Resources Corp.")</f>
        <v>0</v>
      </c>
      <c r="C234">
        <v>42.11</v>
      </c>
      <c r="D234">
        <v>44.6</v>
      </c>
      <c r="E234">
        <v>0.9441704035874439</v>
      </c>
      <c r="F234">
        <v>0.02540964141534078</v>
      </c>
      <c r="G234">
        <v>0.01155598377005562</v>
      </c>
      <c r="H234">
        <v>0.023</v>
      </c>
      <c r="I234">
        <v>0.05842543578385384</v>
      </c>
      <c r="J234" t="s">
        <v>776</v>
      </c>
      <c r="K234" t="s">
        <v>776</v>
      </c>
      <c r="L234">
        <v>2.23</v>
      </c>
      <c r="M234">
        <v>1.07</v>
      </c>
      <c r="N234">
        <v>0.4798206278026906</v>
      </c>
      <c r="O234">
        <v>25</v>
      </c>
      <c r="P234">
        <v>0.03649029114773783</v>
      </c>
      <c r="Q234">
        <v>0.153132321173213</v>
      </c>
      <c r="R234" t="s">
        <v>779</v>
      </c>
      <c r="S234" t="s">
        <v>791</v>
      </c>
      <c r="T234">
        <v>355.400455</v>
      </c>
      <c r="U234" s="2">
        <v>44421</v>
      </c>
      <c r="V234" t="s">
        <v>803</v>
      </c>
    </row>
    <row r="235" spans="1:22">
      <c r="A235" s="1" t="s">
        <v>255</v>
      </c>
      <c r="B235">
        <f>HYPERLINK("https://www.suredividend.com/sure-analysis-CVS/","CVS Health Corp")</f>
        <v>0</v>
      </c>
      <c r="C235">
        <v>92.95999999999999</v>
      </c>
      <c r="D235">
        <v>87</v>
      </c>
      <c r="E235">
        <v>1.068505747126437</v>
      </c>
      <c r="F235">
        <v>0.02151462994836489</v>
      </c>
      <c r="G235">
        <v>-0.0131648106400255</v>
      </c>
      <c r="H235">
        <v>0.05</v>
      </c>
      <c r="I235">
        <v>0.05696917042979854</v>
      </c>
      <c r="J235" t="s">
        <v>776</v>
      </c>
      <c r="K235" t="s">
        <v>776</v>
      </c>
      <c r="L235">
        <v>7.95</v>
      </c>
      <c r="M235">
        <v>2</v>
      </c>
      <c r="N235">
        <v>0.2515723270440252</v>
      </c>
      <c r="O235">
        <v>0</v>
      </c>
      <c r="P235">
        <v>0.04978904632428516</v>
      </c>
      <c r="Q235">
        <v>0.408440011478877</v>
      </c>
      <c r="R235" t="s">
        <v>779</v>
      </c>
      <c r="S235" t="s">
        <v>784</v>
      </c>
      <c r="T235">
        <v>122448.641023</v>
      </c>
      <c r="U235" s="2">
        <v>44503</v>
      </c>
      <c r="V235" t="s">
        <v>795</v>
      </c>
    </row>
    <row r="236" spans="1:22">
      <c r="A236" s="1" t="s">
        <v>256</v>
      </c>
      <c r="B236">
        <f>HYPERLINK("https://www.suredividend.com/sure-analysis-CIO/","City Office REIT Inc")</f>
        <v>0</v>
      </c>
      <c r="C236">
        <v>18.67</v>
      </c>
      <c r="D236">
        <v>16.05</v>
      </c>
      <c r="E236">
        <v>1.163239875389408</v>
      </c>
      <c r="F236">
        <v>0.03213711837171934</v>
      </c>
      <c r="G236">
        <v>-0.02978911276636442</v>
      </c>
      <c r="H236">
        <v>0.05</v>
      </c>
      <c r="I236">
        <v>0.05605771607582533</v>
      </c>
      <c r="J236" t="s">
        <v>776</v>
      </c>
      <c r="K236" t="s">
        <v>776</v>
      </c>
      <c r="L236">
        <v>1.42</v>
      </c>
      <c r="M236">
        <v>0.6</v>
      </c>
      <c r="N236">
        <v>0.4225352112676056</v>
      </c>
      <c r="O236">
        <v>0</v>
      </c>
      <c r="P236">
        <v>0.1008397341583922</v>
      </c>
      <c r="Q236">
        <v>1.678761854658685</v>
      </c>
      <c r="R236" t="s">
        <v>781</v>
      </c>
      <c r="S236" t="s">
        <v>793</v>
      </c>
      <c r="T236">
        <v>820.564425</v>
      </c>
      <c r="U236" s="2">
        <v>44433</v>
      </c>
      <c r="V236" t="s">
        <v>794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114.15</v>
      </c>
      <c r="D237">
        <v>122</v>
      </c>
      <c r="E237">
        <v>0.9356557377049181</v>
      </c>
      <c r="F237">
        <v>0.04695575996495839</v>
      </c>
      <c r="G237">
        <v>0.01339039330926273</v>
      </c>
      <c r="H237">
        <v>0</v>
      </c>
      <c r="I237">
        <v>0.05546110037111363</v>
      </c>
      <c r="J237" t="s">
        <v>776</v>
      </c>
      <c r="K237" t="s">
        <v>775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0.5208327870571881</v>
      </c>
      <c r="R237" t="s">
        <v>779</v>
      </c>
      <c r="S237" t="s">
        <v>792</v>
      </c>
      <c r="T237">
        <v>223611.566604</v>
      </c>
      <c r="U237" s="2">
        <v>44501</v>
      </c>
      <c r="V237" t="s">
        <v>802</v>
      </c>
    </row>
    <row r="238" spans="1:22">
      <c r="A238" s="1" t="s">
        <v>258</v>
      </c>
      <c r="B238">
        <f>HYPERLINK("https://www.suredividend.com/sure-analysis-WEYS/","Weyco Group, Inc")</f>
        <v>0</v>
      </c>
      <c r="C238">
        <v>22.79</v>
      </c>
      <c r="D238">
        <v>23</v>
      </c>
      <c r="E238">
        <v>0.9908695652173912</v>
      </c>
      <c r="F238">
        <v>0.04387889425186486</v>
      </c>
      <c r="G238">
        <v>0.001836158212117134</v>
      </c>
      <c r="H238">
        <v>0.01</v>
      </c>
      <c r="I238">
        <v>0.05521332292727399</v>
      </c>
      <c r="J238" t="s">
        <v>776</v>
      </c>
      <c r="K238" t="s">
        <v>775</v>
      </c>
      <c r="L238">
        <v>1.5</v>
      </c>
      <c r="M238">
        <v>1</v>
      </c>
      <c r="N238">
        <v>0.6666666666666666</v>
      </c>
      <c r="O238">
        <v>39</v>
      </c>
      <c r="P238">
        <v>0.04057159395880827</v>
      </c>
      <c r="Q238">
        <v>0.360479554190455</v>
      </c>
      <c r="R238" t="s">
        <v>779</v>
      </c>
      <c r="S238" t="s">
        <v>788</v>
      </c>
      <c r="T238">
        <v>222.442791</v>
      </c>
      <c r="U238" s="2">
        <v>44509</v>
      </c>
      <c r="V238" t="s">
        <v>800</v>
      </c>
    </row>
    <row r="239" spans="1:22">
      <c r="A239" s="1" t="s">
        <v>259</v>
      </c>
      <c r="B239">
        <f>HYPERLINK("https://www.suredividend.com/sure-analysis-YORW/","York Water Co.")</f>
        <v>0</v>
      </c>
      <c r="C239">
        <v>49.29</v>
      </c>
      <c r="D239">
        <v>45</v>
      </c>
      <c r="E239">
        <v>1.095333333333333</v>
      </c>
      <c r="F239">
        <v>0.01521606816798539</v>
      </c>
      <c r="G239">
        <v>-0.01804691448091944</v>
      </c>
      <c r="H239">
        <v>0.06</v>
      </c>
      <c r="I239">
        <v>0.05505804810602233</v>
      </c>
      <c r="J239" t="s">
        <v>776</v>
      </c>
      <c r="K239" t="s">
        <v>514</v>
      </c>
      <c r="L239">
        <v>1.29</v>
      </c>
      <c r="M239">
        <v>0.75</v>
      </c>
      <c r="N239">
        <v>0.5813953488372093</v>
      </c>
      <c r="O239">
        <v>24</v>
      </c>
      <c r="P239">
        <v>0.03943186329943948</v>
      </c>
      <c r="Q239">
        <v>0.120711071852485</v>
      </c>
      <c r="R239" t="s">
        <v>779</v>
      </c>
      <c r="S239" t="s">
        <v>791</v>
      </c>
      <c r="T239">
        <v>638.45655</v>
      </c>
      <c r="U239" s="2">
        <v>44507</v>
      </c>
      <c r="V239" t="s">
        <v>794</v>
      </c>
    </row>
    <row r="240" spans="1:22">
      <c r="A240" s="1" t="s">
        <v>260</v>
      </c>
      <c r="B240">
        <f>HYPERLINK("https://www.suredividend.com/sure-analysis-HRB/","H&amp;R Block Inc.")</f>
        <v>0</v>
      </c>
      <c r="C240">
        <v>24.97</v>
      </c>
      <c r="D240">
        <v>26.6</v>
      </c>
      <c r="E240">
        <v>0.9387218045112781</v>
      </c>
      <c r="F240">
        <v>0.04325190228273929</v>
      </c>
      <c r="G240">
        <v>0.01272753664244131</v>
      </c>
      <c r="H240">
        <v>0.003</v>
      </c>
      <c r="I240">
        <v>0.05502795109481307</v>
      </c>
      <c r="J240" t="s">
        <v>776</v>
      </c>
      <c r="K240" t="s">
        <v>775</v>
      </c>
      <c r="L240">
        <v>2.96</v>
      </c>
      <c r="M240">
        <v>1.08</v>
      </c>
      <c r="N240">
        <v>0.3648648648648649</v>
      </c>
      <c r="O240">
        <v>1</v>
      </c>
      <c r="P240">
        <v>0.01439440873959041</v>
      </c>
      <c r="Q240">
        <v>0.420789416463533</v>
      </c>
      <c r="R240" t="s">
        <v>779</v>
      </c>
      <c r="S240" t="s">
        <v>788</v>
      </c>
      <c r="T240">
        <v>4360.878573</v>
      </c>
      <c r="U240" s="2">
        <v>44365</v>
      </c>
      <c r="V240" t="s">
        <v>803</v>
      </c>
    </row>
    <row r="241" spans="1:22">
      <c r="A241" s="1" t="s">
        <v>261</v>
      </c>
      <c r="B241">
        <f>HYPERLINK("https://www.suredividend.com/sure-analysis-SBUX/","Starbucks Corp.")</f>
        <v>0</v>
      </c>
      <c r="C241">
        <v>113.25</v>
      </c>
      <c r="D241">
        <v>92</v>
      </c>
      <c r="E241">
        <v>1.230978260869565</v>
      </c>
      <c r="F241">
        <v>0.01730684326710817</v>
      </c>
      <c r="G241">
        <v>-0.04070998655320723</v>
      </c>
      <c r="H241">
        <v>0.08</v>
      </c>
      <c r="I241">
        <v>0.05440587739957881</v>
      </c>
      <c r="J241" t="s">
        <v>776</v>
      </c>
      <c r="K241" t="s">
        <v>370</v>
      </c>
      <c r="L241">
        <v>4</v>
      </c>
      <c r="M241">
        <v>1.96</v>
      </c>
      <c r="N241">
        <v>0.49</v>
      </c>
      <c r="O241">
        <v>11</v>
      </c>
      <c r="P241">
        <v>0.0800087729241854</v>
      </c>
      <c r="Q241">
        <v>0.210505828734584</v>
      </c>
      <c r="R241" t="s">
        <v>779</v>
      </c>
      <c r="S241" t="s">
        <v>788</v>
      </c>
      <c r="T241">
        <v>134570.683</v>
      </c>
      <c r="U241" s="2">
        <v>44504</v>
      </c>
      <c r="V241" t="s">
        <v>799</v>
      </c>
    </row>
    <row r="242" spans="1:22">
      <c r="A242" s="1" t="s">
        <v>262</v>
      </c>
      <c r="B242">
        <f>HYPERLINK("https://www.suredividend.com/sure-analysis-KMB/","Kimberly-Clark Corp.")</f>
        <v>0</v>
      </c>
      <c r="C242">
        <v>134.71</v>
      </c>
      <c r="D242">
        <v>112</v>
      </c>
      <c r="E242">
        <v>1.202767857142857</v>
      </c>
      <c r="F242">
        <v>0.03385049365303244</v>
      </c>
      <c r="G242">
        <v>-0.03625167266230722</v>
      </c>
      <c r="H242">
        <v>0.06</v>
      </c>
      <c r="I242">
        <v>0.05434711366322476</v>
      </c>
      <c r="J242" t="s">
        <v>776</v>
      </c>
      <c r="K242" t="s">
        <v>775</v>
      </c>
      <c r="L242">
        <v>6.2</v>
      </c>
      <c r="M242">
        <v>4.56</v>
      </c>
      <c r="N242">
        <v>0.7354838709677418</v>
      </c>
      <c r="O242">
        <v>49</v>
      </c>
      <c r="P242">
        <v>0.03932663634209943</v>
      </c>
      <c r="Q242">
        <v>0.032388600858583</v>
      </c>
      <c r="R242" t="s">
        <v>779</v>
      </c>
      <c r="S242" t="s">
        <v>789</v>
      </c>
      <c r="T242">
        <v>44601.496996</v>
      </c>
      <c r="U242" s="2">
        <v>44499</v>
      </c>
      <c r="V242" t="s">
        <v>798</v>
      </c>
    </row>
    <row r="243" spans="1:22">
      <c r="A243" s="1" t="s">
        <v>263</v>
      </c>
      <c r="B243">
        <f>HYPERLINK("https://www.suredividend.com/sure-analysis-CLX/","Clorox Co.")</f>
        <v>0</v>
      </c>
      <c r="C243">
        <v>165.44</v>
      </c>
      <c r="D243">
        <v>128</v>
      </c>
      <c r="E243">
        <v>1.2925</v>
      </c>
      <c r="F243">
        <v>0.02804642166344294</v>
      </c>
      <c r="G243">
        <v>-0.0500212523001925</v>
      </c>
      <c r="H243">
        <v>0.08</v>
      </c>
      <c r="I243">
        <v>0.05304205645620996</v>
      </c>
      <c r="J243" t="s">
        <v>776</v>
      </c>
      <c r="K243" t="s">
        <v>776</v>
      </c>
      <c r="L243">
        <v>5.55</v>
      </c>
      <c r="M243">
        <v>4.64</v>
      </c>
      <c r="N243">
        <v>0.836036036036036</v>
      </c>
      <c r="O243">
        <v>44</v>
      </c>
      <c r="P243">
        <v>0.04017423812999366</v>
      </c>
      <c r="Q243">
        <v>-0.126340658260116</v>
      </c>
      <c r="R243" t="s">
        <v>779</v>
      </c>
      <c r="S243" t="s">
        <v>789</v>
      </c>
      <c r="T243">
        <v>20413.648571</v>
      </c>
      <c r="U243" s="2">
        <v>44415</v>
      </c>
      <c r="V243" t="s">
        <v>798</v>
      </c>
    </row>
    <row r="244" spans="1:22">
      <c r="A244" s="1" t="s">
        <v>264</v>
      </c>
      <c r="B244">
        <f>HYPERLINK("https://www.suredividend.com/sure-analysis-SPTN/","SpartanNash Co")</f>
        <v>0</v>
      </c>
      <c r="C244">
        <v>24.4</v>
      </c>
      <c r="D244">
        <v>21</v>
      </c>
      <c r="E244">
        <v>1.161904761904762</v>
      </c>
      <c r="F244">
        <v>0.03278688524590164</v>
      </c>
      <c r="G244">
        <v>-0.02956624653597917</v>
      </c>
      <c r="H244">
        <v>0.05</v>
      </c>
      <c r="I244">
        <v>0.05106027950025527</v>
      </c>
      <c r="J244" t="s">
        <v>776</v>
      </c>
      <c r="K244" t="s">
        <v>776</v>
      </c>
      <c r="L244">
        <v>1.78</v>
      </c>
      <c r="M244">
        <v>0.8</v>
      </c>
      <c r="N244">
        <v>0.4494382022471911</v>
      </c>
      <c r="O244">
        <v>10</v>
      </c>
      <c r="P244">
        <v>0.03928904495613805</v>
      </c>
      <c r="Q244">
        <v>0.417150951830801</v>
      </c>
      <c r="R244" t="s">
        <v>779</v>
      </c>
      <c r="S244" t="s">
        <v>789</v>
      </c>
      <c r="T244">
        <v>877.252658</v>
      </c>
      <c r="U244" s="2">
        <v>44434</v>
      </c>
      <c r="V244" t="s">
        <v>801</v>
      </c>
    </row>
    <row r="245" spans="1:22">
      <c r="A245" s="1" t="s">
        <v>265</v>
      </c>
      <c r="B245">
        <f>HYPERLINK("https://www.suredividend.com/sure-analysis-PRGO/","Perrigo Company plc")</f>
        <v>0</v>
      </c>
      <c r="C245">
        <v>42.21</v>
      </c>
      <c r="D245">
        <v>38</v>
      </c>
      <c r="E245">
        <v>1.110789473684211</v>
      </c>
      <c r="F245">
        <v>0.02274342572850035</v>
      </c>
      <c r="G245">
        <v>-0.02079494025443429</v>
      </c>
      <c r="H245">
        <v>0.05</v>
      </c>
      <c r="I245">
        <v>0.05081778976012807</v>
      </c>
      <c r="J245" t="s">
        <v>776</v>
      </c>
      <c r="K245" t="s">
        <v>776</v>
      </c>
      <c r="L245">
        <v>2.5</v>
      </c>
      <c r="M245">
        <v>0.96</v>
      </c>
      <c r="N245">
        <v>0.384</v>
      </c>
      <c r="O245">
        <v>19</v>
      </c>
      <c r="P245">
        <v>0.05081623913789235</v>
      </c>
      <c r="Q245">
        <v>0.052718023384855</v>
      </c>
      <c r="R245" t="s">
        <v>779</v>
      </c>
      <c r="S245" t="s">
        <v>784</v>
      </c>
      <c r="T245">
        <v>6342.092063</v>
      </c>
      <c r="U245" s="2">
        <v>44419</v>
      </c>
      <c r="V245" t="s">
        <v>795</v>
      </c>
    </row>
    <row r="246" spans="1:22">
      <c r="A246" s="1" t="s">
        <v>266</v>
      </c>
      <c r="B246">
        <f>HYPERLINK("https://www.suredividend.com/sure-analysis-SJM/","J.M. Smucker Co.")</f>
        <v>0</v>
      </c>
      <c r="C246">
        <v>127.61</v>
      </c>
      <c r="D246">
        <v>110</v>
      </c>
      <c r="E246">
        <v>1.160090909090909</v>
      </c>
      <c r="F246">
        <v>0.03103205077971946</v>
      </c>
      <c r="G246">
        <v>-0.02926297303605252</v>
      </c>
      <c r="H246">
        <v>0.05</v>
      </c>
      <c r="I246">
        <v>0.04978989905468612</v>
      </c>
      <c r="J246" t="s">
        <v>776</v>
      </c>
      <c r="K246" t="s">
        <v>776</v>
      </c>
      <c r="L246">
        <v>6.9</v>
      </c>
      <c r="M246">
        <v>3.96</v>
      </c>
      <c r="N246">
        <v>0.5739130434782609</v>
      </c>
      <c r="O246">
        <v>24</v>
      </c>
      <c r="P246">
        <v>0.04008868188296377</v>
      </c>
      <c r="Q246">
        <v>0.169383222652093</v>
      </c>
      <c r="R246" t="s">
        <v>779</v>
      </c>
      <c r="S246" t="s">
        <v>789</v>
      </c>
      <c r="T246">
        <v>13932.73863</v>
      </c>
      <c r="U246" s="2">
        <v>44435</v>
      </c>
      <c r="V246" t="s">
        <v>799</v>
      </c>
    </row>
    <row r="247" spans="1:22">
      <c r="A247" s="1" t="s">
        <v>267</v>
      </c>
      <c r="B247">
        <f>HYPERLINK("https://www.suredividend.com/sure-analysis-UPS/","United Parcel Service, Inc.")</f>
        <v>0</v>
      </c>
      <c r="C247">
        <v>211.64</v>
      </c>
      <c r="D247">
        <v>191</v>
      </c>
      <c r="E247">
        <v>1.108062827225131</v>
      </c>
      <c r="F247">
        <v>0.01927801927801928</v>
      </c>
      <c r="G247">
        <v>-0.02031350151154865</v>
      </c>
      <c r="H247">
        <v>0.05</v>
      </c>
      <c r="I247">
        <v>0.04864309947792789</v>
      </c>
      <c r="J247" t="s">
        <v>776</v>
      </c>
      <c r="K247" t="s">
        <v>370</v>
      </c>
      <c r="L247">
        <v>11.25</v>
      </c>
      <c r="M247">
        <v>4.08</v>
      </c>
      <c r="N247">
        <v>0.3626666666666667</v>
      </c>
      <c r="O247">
        <v>12</v>
      </c>
      <c r="P247">
        <v>0.06308972429112014</v>
      </c>
      <c r="Q247">
        <v>0.31555450848099</v>
      </c>
      <c r="R247" t="s">
        <v>779</v>
      </c>
      <c r="S247" t="s">
        <v>786</v>
      </c>
      <c r="T247">
        <v>181489.424</v>
      </c>
      <c r="U247" s="2">
        <v>44495</v>
      </c>
      <c r="V247" t="s">
        <v>799</v>
      </c>
    </row>
    <row r="248" spans="1:22">
      <c r="A248" s="1" t="s">
        <v>268</v>
      </c>
      <c r="B248">
        <f>HYPERLINK("https://www.suredividend.com/sure-analysis-CTSH/","Cognizant Technology Solutions Corp.")</f>
        <v>0</v>
      </c>
      <c r="C248">
        <v>80.65000000000001</v>
      </c>
      <c r="D248">
        <v>65</v>
      </c>
      <c r="E248">
        <v>1.240769230769231</v>
      </c>
      <c r="F248">
        <v>0.01190328580285183</v>
      </c>
      <c r="G248">
        <v>-0.04222874876067173</v>
      </c>
      <c r="H248">
        <v>0.08</v>
      </c>
      <c r="I248">
        <v>0.04696013687888057</v>
      </c>
      <c r="J248" t="s">
        <v>776</v>
      </c>
      <c r="K248" t="s">
        <v>514</v>
      </c>
      <c r="L248">
        <v>4.05</v>
      </c>
      <c r="M248">
        <v>0.96</v>
      </c>
      <c r="N248">
        <v>0.237037037037037</v>
      </c>
      <c r="O248">
        <v>2</v>
      </c>
      <c r="P248">
        <v>0.07214502590085092</v>
      </c>
      <c r="Q248">
        <v>0.103493459358107</v>
      </c>
      <c r="R248" t="s">
        <v>779</v>
      </c>
      <c r="S248" t="s">
        <v>785</v>
      </c>
      <c r="T248">
        <v>42288.017104</v>
      </c>
      <c r="U248" s="2">
        <v>44504</v>
      </c>
      <c r="V248" t="s">
        <v>802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103.44</v>
      </c>
      <c r="D249">
        <v>89</v>
      </c>
      <c r="E249">
        <v>1.162247191011236</v>
      </c>
      <c r="F249">
        <v>0.03905645784996133</v>
      </c>
      <c r="G249">
        <v>-0.02962343642379883</v>
      </c>
      <c r="H249">
        <v>0.04</v>
      </c>
      <c r="I249">
        <v>0.04684331849485379</v>
      </c>
      <c r="J249" t="s">
        <v>776</v>
      </c>
      <c r="K249" t="s">
        <v>775</v>
      </c>
      <c r="L249">
        <v>5.95</v>
      </c>
      <c r="M249">
        <v>4.04</v>
      </c>
      <c r="N249">
        <v>0.6789915966386555</v>
      </c>
      <c r="O249">
        <v>28</v>
      </c>
      <c r="P249">
        <v>0.02496011802205444</v>
      </c>
      <c r="Q249">
        <v>-0.028006558485848</v>
      </c>
      <c r="R249" t="s">
        <v>779</v>
      </c>
      <c r="S249" t="s">
        <v>791</v>
      </c>
      <c r="T249">
        <v>20564.406411</v>
      </c>
      <c r="U249" s="2">
        <v>44424</v>
      </c>
      <c r="V249" t="s">
        <v>797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134.44</v>
      </c>
      <c r="D250">
        <v>107</v>
      </c>
      <c r="E250">
        <v>1.256448598130841</v>
      </c>
      <c r="F250">
        <v>0.01368640285629277</v>
      </c>
      <c r="G250">
        <v>-0.04463119870120291</v>
      </c>
      <c r="H250">
        <v>0.08</v>
      </c>
      <c r="I250">
        <v>0.04604083519405289</v>
      </c>
      <c r="J250" t="s">
        <v>776</v>
      </c>
      <c r="K250" t="s">
        <v>514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0.347802759584138</v>
      </c>
      <c r="R250" t="s">
        <v>779</v>
      </c>
      <c r="S250" t="s">
        <v>786</v>
      </c>
      <c r="T250">
        <v>42218.001006</v>
      </c>
      <c r="U250" s="2">
        <v>44502</v>
      </c>
      <c r="V250" t="s">
        <v>794</v>
      </c>
    </row>
    <row r="251" spans="1:22">
      <c r="A251" s="1" t="s">
        <v>271</v>
      </c>
      <c r="B251">
        <f>HYPERLINK("https://www.suredividend.com/sure-analysis-NEP/","NextEra Energy Partners LP")</f>
        <v>0</v>
      </c>
      <c r="C251">
        <v>84.27</v>
      </c>
      <c r="D251">
        <v>72.8</v>
      </c>
      <c r="E251">
        <v>1.157554945054945</v>
      </c>
      <c r="F251">
        <v>0.03251453660852024</v>
      </c>
      <c r="G251">
        <v>-0.02883800837196859</v>
      </c>
      <c r="H251">
        <v>0.039</v>
      </c>
      <c r="I251">
        <v>0.04583723647166615</v>
      </c>
      <c r="J251" t="s">
        <v>776</v>
      </c>
      <c r="K251" t="s">
        <v>776</v>
      </c>
      <c r="L251">
        <v>6.62</v>
      </c>
      <c r="M251">
        <v>2.74</v>
      </c>
      <c r="N251">
        <v>0.4138972809667674</v>
      </c>
      <c r="O251">
        <v>7</v>
      </c>
      <c r="P251">
        <v>0.07860365022909654</v>
      </c>
      <c r="Q251">
        <v>0.34531046410075</v>
      </c>
      <c r="R251" t="s">
        <v>780</v>
      </c>
      <c r="S251" t="s">
        <v>791</v>
      </c>
      <c r="T251">
        <v>6573.944777</v>
      </c>
      <c r="U251" s="2">
        <v>44494</v>
      </c>
      <c r="V251" t="s">
        <v>803</v>
      </c>
    </row>
    <row r="252" spans="1:22">
      <c r="A252" s="1" t="s">
        <v>272</v>
      </c>
      <c r="B252">
        <f>HYPERLINK("https://www.suredividend.com/sure-analysis-ICE/","Intercontinental Exchange Inc")</f>
        <v>0</v>
      </c>
      <c r="C252">
        <v>134.21</v>
      </c>
      <c r="D252">
        <v>103</v>
      </c>
      <c r="E252">
        <v>1.303009708737864</v>
      </c>
      <c r="F252">
        <v>0.009835332687579168</v>
      </c>
      <c r="G252">
        <v>-0.05155867261238745</v>
      </c>
      <c r="H252">
        <v>0.09</v>
      </c>
      <c r="I252">
        <v>0.04578595233464577</v>
      </c>
      <c r="J252" t="s">
        <v>776</v>
      </c>
      <c r="K252" t="s">
        <v>514</v>
      </c>
      <c r="L252">
        <v>4.92</v>
      </c>
      <c r="M252">
        <v>1.32</v>
      </c>
      <c r="N252">
        <v>0.2682926829268293</v>
      </c>
      <c r="O252">
        <v>8</v>
      </c>
      <c r="P252">
        <v>0.1203569122523565</v>
      </c>
      <c r="Q252">
        <v>0.395055728089758</v>
      </c>
      <c r="R252" t="s">
        <v>779</v>
      </c>
      <c r="S252" t="s">
        <v>790</v>
      </c>
      <c r="T252">
        <v>76330.019441</v>
      </c>
      <c r="U252" s="2">
        <v>44430</v>
      </c>
      <c r="V252" t="s">
        <v>800</v>
      </c>
    </row>
    <row r="253" spans="1:22">
      <c r="A253" s="1" t="s">
        <v>273</v>
      </c>
      <c r="B253">
        <f>HYPERLINK("https://www.suredividend.com/sure-analysis-WABC/","Westamerica Bancorporation")</f>
        <v>0</v>
      </c>
      <c r="C253">
        <v>57.8</v>
      </c>
      <c r="D253">
        <v>57</v>
      </c>
      <c r="E253">
        <v>1.014035087719298</v>
      </c>
      <c r="F253">
        <v>0.02906574394463668</v>
      </c>
      <c r="G253">
        <v>-0.002783620093635308</v>
      </c>
      <c r="H253">
        <v>0.02</v>
      </c>
      <c r="I253">
        <v>0.04443862363120199</v>
      </c>
      <c r="J253" t="s">
        <v>776</v>
      </c>
      <c r="K253" t="s">
        <v>776</v>
      </c>
      <c r="L253">
        <v>3.15</v>
      </c>
      <c r="M253">
        <v>1.68</v>
      </c>
      <c r="N253">
        <v>0.5333333333333333</v>
      </c>
      <c r="O253">
        <v>29</v>
      </c>
      <c r="P253">
        <v>0.01946539682289394</v>
      </c>
      <c r="Q253">
        <v>0.028513623215536</v>
      </c>
      <c r="R253" t="s">
        <v>779</v>
      </c>
      <c r="S253" t="s">
        <v>790</v>
      </c>
      <c r="T253">
        <v>1535.129411</v>
      </c>
      <c r="U253" s="2">
        <v>44490</v>
      </c>
      <c r="V253" t="s">
        <v>795</v>
      </c>
    </row>
    <row r="254" spans="1:22">
      <c r="A254" s="1" t="s">
        <v>274</v>
      </c>
      <c r="B254">
        <f>HYPERLINK("https://www.suredividend.com/sure-analysis-OTTR/","Otter Tail Corporation")</f>
        <v>0</v>
      </c>
      <c r="C254">
        <v>66.98999999999999</v>
      </c>
      <c r="D254">
        <v>72</v>
      </c>
      <c r="E254">
        <v>0.9304166666666666</v>
      </c>
      <c r="F254">
        <v>0.02328705776981639</v>
      </c>
      <c r="G254">
        <v>0.01452908878539128</v>
      </c>
      <c r="H254">
        <v>0.005</v>
      </c>
      <c r="I254">
        <v>0.04223232648983832</v>
      </c>
      <c r="J254" t="s">
        <v>776</v>
      </c>
      <c r="K254" t="s">
        <v>370</v>
      </c>
      <c r="L254">
        <v>3.61</v>
      </c>
      <c r="M254">
        <v>1.56</v>
      </c>
      <c r="N254">
        <v>0.4321329639889197</v>
      </c>
      <c r="O254">
        <v>8</v>
      </c>
      <c r="P254">
        <v>0.03131030647754507</v>
      </c>
      <c r="Q254">
        <v>0.639860382559719</v>
      </c>
      <c r="R254" t="s">
        <v>779</v>
      </c>
      <c r="S254" t="s">
        <v>791</v>
      </c>
      <c r="T254">
        <v>2747.869942</v>
      </c>
      <c r="U254" s="2">
        <v>44506</v>
      </c>
      <c r="V254" t="s">
        <v>803</v>
      </c>
    </row>
    <row r="255" spans="1:22">
      <c r="A255" s="1" t="s">
        <v>275</v>
      </c>
      <c r="B255">
        <f>HYPERLINK("https://www.suredividend.com/sure-analysis-ED/","Consolidated Edison, Inc.")</f>
        <v>0</v>
      </c>
      <c r="C255">
        <v>77.95999999999999</v>
      </c>
      <c r="D255">
        <v>65</v>
      </c>
      <c r="E255">
        <v>1.199384615384615</v>
      </c>
      <c r="F255">
        <v>0.03976398152898923</v>
      </c>
      <c r="G255">
        <v>-0.03570857401888716</v>
      </c>
      <c r="H255">
        <v>0.035</v>
      </c>
      <c r="I255">
        <v>0.0390103774881001</v>
      </c>
      <c r="J255" t="s">
        <v>776</v>
      </c>
      <c r="K255" t="s">
        <v>775</v>
      </c>
      <c r="L255">
        <v>4.25</v>
      </c>
      <c r="M255">
        <v>3.1</v>
      </c>
      <c r="N255">
        <v>0.7294117647058824</v>
      </c>
      <c r="O255">
        <v>47</v>
      </c>
      <c r="P255">
        <v>0.03489723107282572</v>
      </c>
      <c r="Q255">
        <v>0.010737216115693</v>
      </c>
      <c r="R255" t="s">
        <v>779</v>
      </c>
      <c r="S255" t="s">
        <v>791</v>
      </c>
      <c r="T255">
        <v>27503.706117</v>
      </c>
      <c r="U255" s="2">
        <v>44507</v>
      </c>
      <c r="V255" t="s">
        <v>795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342.52</v>
      </c>
      <c r="D256">
        <v>244</v>
      </c>
      <c r="E256">
        <v>1.403770491803279</v>
      </c>
      <c r="F256">
        <v>0.00677332710498657</v>
      </c>
      <c r="G256">
        <v>-0.06558289851523902</v>
      </c>
      <c r="H256">
        <v>0.1</v>
      </c>
      <c r="I256">
        <v>0.03847163280507604</v>
      </c>
      <c r="J256" t="s">
        <v>776</v>
      </c>
      <c r="K256" t="s">
        <v>514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0.183721776266896</v>
      </c>
      <c r="R256" t="s">
        <v>779</v>
      </c>
      <c r="S256" t="s">
        <v>785</v>
      </c>
      <c r="T256">
        <v>38284.549336</v>
      </c>
      <c r="U256" s="2">
        <v>44502</v>
      </c>
      <c r="V256" t="s">
        <v>794</v>
      </c>
    </row>
    <row r="257" spans="1:22">
      <c r="A257" s="1" t="s">
        <v>277</v>
      </c>
      <c r="B257">
        <f>HYPERLINK("https://www.suredividend.com/sure-analysis-SIEGY/","Siemens AG")</f>
        <v>0</v>
      </c>
      <c r="C257">
        <v>83.90000000000001</v>
      </c>
      <c r="D257">
        <v>69</v>
      </c>
      <c r="E257">
        <v>1.215942028985507</v>
      </c>
      <c r="F257">
        <v>0.02514898688915375</v>
      </c>
      <c r="G257">
        <v>-0.03834913633638037</v>
      </c>
      <c r="H257">
        <v>0.05</v>
      </c>
      <c r="I257">
        <v>0.03564376077863107</v>
      </c>
      <c r="J257" t="s">
        <v>776</v>
      </c>
      <c r="K257" t="s">
        <v>370</v>
      </c>
      <c r="L257">
        <v>4.6</v>
      </c>
      <c r="M257">
        <v>2.11</v>
      </c>
      <c r="N257">
        <v>0.4586956521739131</v>
      </c>
      <c r="O257">
        <v>0</v>
      </c>
      <c r="P257">
        <v>0.04023181804828235</v>
      </c>
      <c r="Q257">
        <v>0.143108108108108</v>
      </c>
      <c r="R257" t="s">
        <v>779</v>
      </c>
      <c r="S257" t="s">
        <v>786</v>
      </c>
      <c r="T257">
        <v>143803</v>
      </c>
      <c r="U257" s="2">
        <v>44433</v>
      </c>
      <c r="V257" t="s">
        <v>797</v>
      </c>
    </row>
    <row r="258" spans="1:22">
      <c r="A258" s="1" t="s">
        <v>278</v>
      </c>
      <c r="B258">
        <f>HYPERLINK("https://www.suredividend.com/sure-analysis-MTB/","M &amp; T Bank Corp")</f>
        <v>0</v>
      </c>
      <c r="C258">
        <v>156.39</v>
      </c>
      <c r="D258">
        <v>120</v>
      </c>
      <c r="E258">
        <v>1.30325</v>
      </c>
      <c r="F258">
        <v>0.02813479122706056</v>
      </c>
      <c r="G258">
        <v>-0.05159364962732427</v>
      </c>
      <c r="H258">
        <v>0.057</v>
      </c>
      <c r="I258">
        <v>0.03139534991926163</v>
      </c>
      <c r="J258" t="s">
        <v>776</v>
      </c>
      <c r="K258" t="s">
        <v>776</v>
      </c>
      <c r="L258">
        <v>12.02</v>
      </c>
      <c r="M258">
        <v>4.4</v>
      </c>
      <c r="N258">
        <v>0.3660565723793678</v>
      </c>
      <c r="O258">
        <v>4</v>
      </c>
      <c r="P258">
        <v>0.03197912046824536</v>
      </c>
      <c r="Q258">
        <v>0.286958114137311</v>
      </c>
      <c r="R258" t="s">
        <v>779</v>
      </c>
      <c r="S258" t="s">
        <v>790</v>
      </c>
      <c r="T258">
        <v>19895.920904</v>
      </c>
      <c r="U258" s="2">
        <v>44490</v>
      </c>
      <c r="V258" t="s">
        <v>795</v>
      </c>
    </row>
    <row r="259" spans="1:22">
      <c r="A259" s="1" t="s">
        <v>279</v>
      </c>
      <c r="B259">
        <f>HYPERLINK("https://www.suredividend.com/sure-analysis-RTX/","Raytheon Technologies Corporation")</f>
        <v>0</v>
      </c>
      <c r="C259">
        <v>90.18000000000001</v>
      </c>
      <c r="D259">
        <v>66</v>
      </c>
      <c r="E259">
        <v>1.366363636363636</v>
      </c>
      <c r="F259">
        <v>0.02262142381902861</v>
      </c>
      <c r="G259">
        <v>-0.06052172668654465</v>
      </c>
      <c r="H259">
        <v>0.07000000000000001</v>
      </c>
      <c r="I259">
        <v>0.03112950836586714</v>
      </c>
      <c r="J259" t="s">
        <v>776</v>
      </c>
      <c r="K259" t="s">
        <v>776</v>
      </c>
      <c r="L259">
        <v>4.15</v>
      </c>
      <c r="M259">
        <v>2.04</v>
      </c>
      <c r="N259">
        <v>0.4915662650602409</v>
      </c>
      <c r="O259">
        <v>27</v>
      </c>
      <c r="P259">
        <v>0.06990981876632385</v>
      </c>
      <c r="Q259">
        <v>0.436022884198066</v>
      </c>
      <c r="R259" t="s">
        <v>779</v>
      </c>
      <c r="S259" t="s">
        <v>786</v>
      </c>
      <c r="T259">
        <v>136191.806745</v>
      </c>
      <c r="U259" s="2">
        <v>44497</v>
      </c>
      <c r="V259" t="s">
        <v>799</v>
      </c>
    </row>
    <row r="260" spans="1:22">
      <c r="A260" s="1" t="s">
        <v>280</v>
      </c>
      <c r="B260">
        <f>HYPERLINK("https://www.suredividend.com/sure-analysis-XEL/","Xcel Energy, Inc.")</f>
        <v>0</v>
      </c>
      <c r="C260">
        <v>64.39</v>
      </c>
      <c r="D260">
        <v>53</v>
      </c>
      <c r="E260">
        <v>1.214905660377358</v>
      </c>
      <c r="F260">
        <v>0.02842056219909924</v>
      </c>
      <c r="G260">
        <v>-0.03818512609139957</v>
      </c>
      <c r="H260">
        <v>0.04</v>
      </c>
      <c r="I260">
        <v>0.0304283303666979</v>
      </c>
      <c r="J260" t="s">
        <v>776</v>
      </c>
      <c r="K260" t="s">
        <v>776</v>
      </c>
      <c r="L260">
        <v>2.96</v>
      </c>
      <c r="M260">
        <v>1.83</v>
      </c>
      <c r="N260">
        <v>0.6182432432432433</v>
      </c>
      <c r="O260">
        <v>18</v>
      </c>
      <c r="P260">
        <v>0.04032911905890546</v>
      </c>
      <c r="Q260">
        <v>-0.10975116425231</v>
      </c>
      <c r="R260" t="s">
        <v>779</v>
      </c>
      <c r="S260" t="s">
        <v>791</v>
      </c>
      <c r="T260">
        <v>34259.766252</v>
      </c>
      <c r="U260" s="2">
        <v>44502</v>
      </c>
      <c r="V260" t="s">
        <v>799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477.92</v>
      </c>
      <c r="D261">
        <v>400</v>
      </c>
      <c r="E261">
        <v>1.1948</v>
      </c>
      <c r="F261">
        <v>0.01088048208905256</v>
      </c>
      <c r="G261">
        <v>-0.03496968291858316</v>
      </c>
      <c r="H261">
        <v>0.055</v>
      </c>
      <c r="I261">
        <v>0.029599273304177</v>
      </c>
      <c r="J261" t="s">
        <v>776</v>
      </c>
      <c r="K261" t="s">
        <v>514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0.270403251684672</v>
      </c>
      <c r="R261" t="s">
        <v>779</v>
      </c>
      <c r="S261" t="s">
        <v>789</v>
      </c>
      <c r="T261">
        <v>264938.982888</v>
      </c>
      <c r="U261" s="2">
        <v>44505</v>
      </c>
      <c r="V261" t="s">
        <v>794</v>
      </c>
    </row>
    <row r="262" spans="1:22">
      <c r="A262" s="1" t="s">
        <v>282</v>
      </c>
      <c r="B262">
        <f>HYPERLINK("https://www.suredividend.com/sure-analysis-DE/","Deere &amp; Co.")</f>
        <v>0</v>
      </c>
      <c r="C262">
        <v>352.61</v>
      </c>
      <c r="D262">
        <v>345</v>
      </c>
      <c r="E262">
        <v>1.022057971014493</v>
      </c>
      <c r="F262">
        <v>0.01191117665409376</v>
      </c>
      <c r="G262">
        <v>-0.004354135800381576</v>
      </c>
      <c r="H262">
        <v>0.02</v>
      </c>
      <c r="I262">
        <v>0.02897904065525725</v>
      </c>
      <c r="J262" t="s">
        <v>776</v>
      </c>
      <c r="K262" t="s">
        <v>514</v>
      </c>
      <c r="L262">
        <v>18.4</v>
      </c>
      <c r="M262">
        <v>4.2</v>
      </c>
      <c r="N262">
        <v>0.2282608695652174</v>
      </c>
      <c r="O262">
        <v>1</v>
      </c>
      <c r="P262">
        <v>0.06997394153840619</v>
      </c>
      <c r="Q262">
        <v>0.4453186882821981</v>
      </c>
      <c r="R262" t="s">
        <v>779</v>
      </c>
      <c r="S262" t="s">
        <v>786</v>
      </c>
      <c r="T262">
        <v>110322.974487</v>
      </c>
      <c r="U262" s="2">
        <v>44428</v>
      </c>
      <c r="V262" t="s">
        <v>799</v>
      </c>
    </row>
    <row r="263" spans="1:22">
      <c r="A263" s="1" t="s">
        <v>283</v>
      </c>
      <c r="B263">
        <f>HYPERLINK("https://www.suredividend.com/sure-analysis-NSC/","Norfolk Southern Corp.")</f>
        <v>0</v>
      </c>
      <c r="C263">
        <v>281.71</v>
      </c>
      <c r="D263">
        <v>216</v>
      </c>
      <c r="E263">
        <v>1.304212962962963</v>
      </c>
      <c r="F263">
        <v>0.01547690887792411</v>
      </c>
      <c r="G263">
        <v>-0.05173374178438217</v>
      </c>
      <c r="H263">
        <v>0.065</v>
      </c>
      <c r="I263">
        <v>0.02809711377761159</v>
      </c>
      <c r="J263" t="s">
        <v>776</v>
      </c>
      <c r="K263" t="s">
        <v>370</v>
      </c>
      <c r="L263">
        <v>12</v>
      </c>
      <c r="M263">
        <v>4.36</v>
      </c>
      <c r="N263">
        <v>0.3633333333333333</v>
      </c>
      <c r="O263">
        <v>5</v>
      </c>
      <c r="P263">
        <v>0.0801257210213755</v>
      </c>
      <c r="Q263">
        <v>0.25452152302263</v>
      </c>
      <c r="R263" t="s">
        <v>779</v>
      </c>
      <c r="S263" t="s">
        <v>786</v>
      </c>
      <c r="T263">
        <v>72284.128723</v>
      </c>
      <c r="U263" s="2">
        <v>44503</v>
      </c>
      <c r="V263" t="s">
        <v>797</v>
      </c>
    </row>
    <row r="264" spans="1:22">
      <c r="A264" s="1" t="s">
        <v>284</v>
      </c>
      <c r="B264">
        <f>HYPERLINK("https://www.suredividend.com/sure-analysis-PEP/","PepsiCo Inc")</f>
        <v>0</v>
      </c>
      <c r="C264">
        <v>164.04</v>
      </c>
      <c r="D264">
        <v>124</v>
      </c>
      <c r="E264">
        <v>1.322903225806451</v>
      </c>
      <c r="F264">
        <v>0.02621311875152402</v>
      </c>
      <c r="G264">
        <v>-0.05442847598753831</v>
      </c>
      <c r="H264">
        <v>0.055</v>
      </c>
      <c r="I264">
        <v>0.02696479930059636</v>
      </c>
      <c r="J264" t="s">
        <v>776</v>
      </c>
      <c r="K264" t="s">
        <v>776</v>
      </c>
      <c r="L264">
        <v>6.2</v>
      </c>
      <c r="M264">
        <v>4.3</v>
      </c>
      <c r="N264">
        <v>0.6935483870967741</v>
      </c>
      <c r="O264">
        <v>49</v>
      </c>
      <c r="P264">
        <v>0.0550027021888726</v>
      </c>
      <c r="Q264">
        <v>0.215942673482469</v>
      </c>
      <c r="R264" t="s">
        <v>779</v>
      </c>
      <c r="S264" t="s">
        <v>789</v>
      </c>
      <c r="T264">
        <v>226077.58271</v>
      </c>
      <c r="U264" s="2">
        <v>44474</v>
      </c>
      <c r="V264" t="s">
        <v>795</v>
      </c>
    </row>
    <row r="265" spans="1:22">
      <c r="A265" s="1" t="s">
        <v>285</v>
      </c>
      <c r="B265">
        <f>HYPERLINK("https://www.suredividend.com/sure-analysis-AAP/","Advance Auto Parts Inc")</f>
        <v>0</v>
      </c>
      <c r="C265">
        <v>234.77</v>
      </c>
      <c r="D265">
        <v>191</v>
      </c>
      <c r="E265">
        <v>1.229162303664922</v>
      </c>
      <c r="F265">
        <v>0.01703795203816501</v>
      </c>
      <c r="G265">
        <v>-0.04042670401973925</v>
      </c>
      <c r="H265">
        <v>0.05</v>
      </c>
      <c r="I265">
        <v>0.02684792379348022</v>
      </c>
      <c r="J265" t="s">
        <v>776</v>
      </c>
      <c r="K265" t="s">
        <v>370</v>
      </c>
      <c r="L265">
        <v>11.25</v>
      </c>
      <c r="M265">
        <v>4</v>
      </c>
      <c r="N265">
        <v>0.3555555555555556</v>
      </c>
      <c r="O265">
        <v>1</v>
      </c>
      <c r="P265">
        <v>0.06498652656427617</v>
      </c>
      <c r="Q265">
        <v>0.502918659111222</v>
      </c>
      <c r="R265" t="s">
        <v>779</v>
      </c>
      <c r="S265" t="s">
        <v>788</v>
      </c>
      <c r="T265">
        <v>14640.742201</v>
      </c>
      <c r="U265" s="2">
        <v>44432</v>
      </c>
      <c r="V265" t="s">
        <v>799</v>
      </c>
    </row>
    <row r="266" spans="1:22">
      <c r="A266" s="1" t="s">
        <v>286</v>
      </c>
      <c r="B266">
        <f>HYPERLINK("https://www.suredividend.com/sure-analysis-AMT/","American Tower Corp.")</f>
        <v>0</v>
      </c>
      <c r="C266">
        <v>275.88</v>
      </c>
      <c r="D266">
        <v>209</v>
      </c>
      <c r="E266">
        <v>1.32</v>
      </c>
      <c r="F266">
        <v>0.01899376540524866</v>
      </c>
      <c r="G266">
        <v>-0.05401290088240229</v>
      </c>
      <c r="H266">
        <v>0.06</v>
      </c>
      <c r="I266">
        <v>0.02425052038803521</v>
      </c>
      <c r="J266" t="s">
        <v>776</v>
      </c>
      <c r="K266" t="s">
        <v>370</v>
      </c>
      <c r="L266">
        <v>9.5</v>
      </c>
      <c r="M266">
        <v>5.24</v>
      </c>
      <c r="N266">
        <v>0.5515789473684211</v>
      </c>
      <c r="O266">
        <v>9</v>
      </c>
      <c r="P266">
        <v>0.0599303946492904</v>
      </c>
      <c r="Q266">
        <v>0.200213870633992</v>
      </c>
      <c r="R266" t="s">
        <v>781</v>
      </c>
      <c r="S266" t="s">
        <v>793</v>
      </c>
      <c r="T266">
        <v>127479.402064</v>
      </c>
      <c r="U266" s="2">
        <v>44502</v>
      </c>
      <c r="V266" t="s">
        <v>799</v>
      </c>
    </row>
    <row r="267" spans="1:22">
      <c r="A267" s="1" t="s">
        <v>287</v>
      </c>
      <c r="B267">
        <f>HYPERLINK("https://www.suredividend.com/sure-analysis-NEE/","NextEra Energy Inc")</f>
        <v>0</v>
      </c>
      <c r="C267">
        <v>85.2</v>
      </c>
      <c r="D267">
        <v>61</v>
      </c>
      <c r="E267">
        <v>1.39672131147541</v>
      </c>
      <c r="F267">
        <v>0.01807511737089202</v>
      </c>
      <c r="G267">
        <v>-0.06464160589307777</v>
      </c>
      <c r="H267">
        <v>0.07000000000000001</v>
      </c>
      <c r="I267">
        <v>0.02290322733368022</v>
      </c>
      <c r="J267" t="s">
        <v>776</v>
      </c>
      <c r="K267" t="s">
        <v>370</v>
      </c>
      <c r="L267">
        <v>2.47</v>
      </c>
      <c r="M267">
        <v>1.54</v>
      </c>
      <c r="N267">
        <v>0.6234817813765182</v>
      </c>
      <c r="O267">
        <v>25</v>
      </c>
      <c r="P267">
        <v>0.08353120449915608</v>
      </c>
      <c r="Q267">
        <v>0.141287771398473</v>
      </c>
      <c r="R267" t="s">
        <v>779</v>
      </c>
      <c r="S267" t="s">
        <v>791</v>
      </c>
      <c r="T267">
        <v>166403.401723</v>
      </c>
      <c r="U267" s="2">
        <v>44498</v>
      </c>
      <c r="V267" t="s">
        <v>804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179.56</v>
      </c>
      <c r="D268">
        <v>141</v>
      </c>
      <c r="E268">
        <v>1.273475177304965</v>
      </c>
      <c r="F268">
        <v>0.02004900868790377</v>
      </c>
      <c r="G268">
        <v>-0.04719966058024716</v>
      </c>
      <c r="H268">
        <v>0.05</v>
      </c>
      <c r="I268">
        <v>0.02264199184736726</v>
      </c>
      <c r="J268" t="s">
        <v>776</v>
      </c>
      <c r="K268" t="s">
        <v>370</v>
      </c>
      <c r="L268">
        <v>7.05</v>
      </c>
      <c r="M268">
        <v>3.6</v>
      </c>
      <c r="N268">
        <v>0.5106382978723405</v>
      </c>
      <c r="O268">
        <v>12</v>
      </c>
      <c r="P268">
        <v>0.04978904632428516</v>
      </c>
      <c r="Q268">
        <v>0.200969064378431</v>
      </c>
      <c r="R268" t="s">
        <v>779</v>
      </c>
      <c r="S268" t="s">
        <v>789</v>
      </c>
      <c r="T268">
        <v>36670.45756</v>
      </c>
      <c r="U268" s="2">
        <v>44500</v>
      </c>
      <c r="V268" t="s">
        <v>799</v>
      </c>
    </row>
    <row r="269" spans="1:22">
      <c r="A269" s="1" t="s">
        <v>289</v>
      </c>
      <c r="B269">
        <f>HYPERLINK("https://www.suredividend.com/sure-analysis-GEF/","Greif Inc")</f>
        <v>0</v>
      </c>
      <c r="C269">
        <v>70.45999999999999</v>
      </c>
      <c r="D269">
        <v>62</v>
      </c>
      <c r="E269">
        <v>1.136451612903226</v>
      </c>
      <c r="F269">
        <v>0.02611410729491911</v>
      </c>
      <c r="G269">
        <v>-0.02525770678573513</v>
      </c>
      <c r="H269">
        <v>0.02</v>
      </c>
      <c r="I269">
        <v>0.0210278645609161</v>
      </c>
      <c r="J269" t="s">
        <v>776</v>
      </c>
      <c r="K269" t="s">
        <v>776</v>
      </c>
      <c r="L269">
        <v>4.4</v>
      </c>
      <c r="M269">
        <v>1.84</v>
      </c>
      <c r="N269">
        <v>0.4181818181818182</v>
      </c>
      <c r="O269">
        <v>1</v>
      </c>
      <c r="P269">
        <v>0.01884169405651681</v>
      </c>
      <c r="Q269">
        <v>0.629510499852114</v>
      </c>
      <c r="R269" t="s">
        <v>779</v>
      </c>
      <c r="S269" t="s">
        <v>788</v>
      </c>
      <c r="T269">
        <v>3419.954382</v>
      </c>
      <c r="U269" s="2">
        <v>44441</v>
      </c>
      <c r="V269" t="s">
        <v>799</v>
      </c>
    </row>
    <row r="270" spans="1:22">
      <c r="A270" s="1" t="s">
        <v>290</v>
      </c>
      <c r="B270">
        <f>HYPERLINK("https://www.suredividend.com/sure-analysis-AWK/","American Water Works Co. Inc.")</f>
        <v>0</v>
      </c>
      <c r="C270">
        <v>172</v>
      </c>
      <c r="D270">
        <v>136</v>
      </c>
      <c r="E270">
        <v>1.264705882352941</v>
      </c>
      <c r="F270">
        <v>0.01401162790697674</v>
      </c>
      <c r="G270">
        <v>-0.04588199309232821</v>
      </c>
      <c r="H270">
        <v>0.05</v>
      </c>
      <c r="I270">
        <v>0.01935333113133852</v>
      </c>
      <c r="J270" t="s">
        <v>776</v>
      </c>
      <c r="K270" t="s">
        <v>514</v>
      </c>
      <c r="L270">
        <v>4.25</v>
      </c>
      <c r="M270">
        <v>2.41</v>
      </c>
      <c r="N270">
        <v>0.5670588235294118</v>
      </c>
      <c r="O270">
        <v>13</v>
      </c>
      <c r="P270">
        <v>0.0901126350638779</v>
      </c>
      <c r="Q270">
        <v>0.05931528189771901</v>
      </c>
      <c r="R270" t="s">
        <v>779</v>
      </c>
      <c r="S270" t="s">
        <v>791</v>
      </c>
      <c r="T270">
        <v>30774.279041</v>
      </c>
      <c r="U270" s="2">
        <v>44504</v>
      </c>
      <c r="V270" t="s">
        <v>794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50.22</v>
      </c>
      <c r="D271">
        <v>42</v>
      </c>
      <c r="E271">
        <v>1.195714285714286</v>
      </c>
      <c r="F271">
        <v>0.02329749103942652</v>
      </c>
      <c r="G271">
        <v>-0.03511730738480945</v>
      </c>
      <c r="H271">
        <v>0.03</v>
      </c>
      <c r="I271">
        <v>0.01849945067271452</v>
      </c>
      <c r="J271" t="s">
        <v>776</v>
      </c>
      <c r="K271" t="s">
        <v>776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0.23741240209646</v>
      </c>
      <c r="R271" t="s">
        <v>779</v>
      </c>
      <c r="S271" t="s">
        <v>784</v>
      </c>
      <c r="T271">
        <v>283441.895688</v>
      </c>
      <c r="U271" s="2">
        <v>44490</v>
      </c>
      <c r="V271" t="s">
        <v>805</v>
      </c>
    </row>
    <row r="272" spans="1:22">
      <c r="A272" s="1" t="s">
        <v>292</v>
      </c>
      <c r="B272">
        <f>HYPERLINK("https://www.suredividend.com/sure-analysis-SBSI/","Southside Bancshares Inc")</f>
        <v>0</v>
      </c>
      <c r="C272">
        <v>44.68</v>
      </c>
      <c r="D272">
        <v>36</v>
      </c>
      <c r="E272">
        <v>1.241111111111111</v>
      </c>
      <c r="F272">
        <v>0.02954341987466428</v>
      </c>
      <c r="G272">
        <v>-0.04228152070755964</v>
      </c>
      <c r="H272">
        <v>0.03</v>
      </c>
      <c r="I272">
        <v>0.01842843052172793</v>
      </c>
      <c r="J272" t="s">
        <v>776</v>
      </c>
      <c r="K272" t="s">
        <v>776</v>
      </c>
      <c r="L272">
        <v>3.01</v>
      </c>
      <c r="M272">
        <v>1.32</v>
      </c>
      <c r="N272">
        <v>0.4385382059800665</v>
      </c>
      <c r="O272">
        <v>27</v>
      </c>
      <c r="P272">
        <v>0.02996744995959233</v>
      </c>
      <c r="Q272">
        <v>0.573664541812949</v>
      </c>
      <c r="R272" t="s">
        <v>779</v>
      </c>
      <c r="S272" t="s">
        <v>790</v>
      </c>
      <c r="T272">
        <v>1436.607297</v>
      </c>
      <c r="U272" s="2">
        <v>44495</v>
      </c>
      <c r="V272" t="s">
        <v>795</v>
      </c>
    </row>
    <row r="273" spans="1:22">
      <c r="A273" s="1" t="s">
        <v>293</v>
      </c>
      <c r="B273">
        <f>HYPERLINK("https://www.suredividend.com/sure-analysis-DDS/","Dillard`s Inc.")</f>
        <v>0</v>
      </c>
      <c r="C273">
        <v>296</v>
      </c>
      <c r="D273">
        <v>288</v>
      </c>
      <c r="E273">
        <v>1.027777777777778</v>
      </c>
      <c r="F273">
        <v>0.002702702702702703</v>
      </c>
      <c r="G273">
        <v>-0.005464808149047262</v>
      </c>
      <c r="H273">
        <v>0.02</v>
      </c>
      <c r="I273">
        <v>0.01696536274983895</v>
      </c>
      <c r="J273" t="s">
        <v>776</v>
      </c>
      <c r="K273" t="s">
        <v>514</v>
      </c>
      <c r="L273">
        <v>26.2</v>
      </c>
      <c r="M273">
        <v>0.8</v>
      </c>
      <c r="N273">
        <v>0.03053435114503817</v>
      </c>
      <c r="O273">
        <v>11</v>
      </c>
      <c r="P273">
        <v>0</v>
      </c>
      <c r="Q273">
        <v>4.983382073063176</v>
      </c>
      <c r="R273" t="s">
        <v>779</v>
      </c>
      <c r="S273" t="s">
        <v>788</v>
      </c>
      <c r="T273">
        <v>5143.73336</v>
      </c>
      <c r="U273" s="2">
        <v>44434</v>
      </c>
      <c r="V273" t="s">
        <v>797</v>
      </c>
    </row>
    <row r="274" spans="1:22">
      <c r="A274" s="1" t="s">
        <v>294</v>
      </c>
      <c r="B274">
        <f>HYPERLINK("https://www.suredividend.com/sure-analysis-UNP/","Union Pacific Corp.")</f>
        <v>0</v>
      </c>
      <c r="C274">
        <v>241.54</v>
      </c>
      <c r="D274">
        <v>169</v>
      </c>
      <c r="E274">
        <v>1.429230769230769</v>
      </c>
      <c r="F274">
        <v>0.01771963235902956</v>
      </c>
      <c r="G274">
        <v>-0.06893601341089506</v>
      </c>
      <c r="H274">
        <v>0.07000000000000001</v>
      </c>
      <c r="I274">
        <v>0.01628341034713654</v>
      </c>
      <c r="J274" t="s">
        <v>776</v>
      </c>
      <c r="K274" t="s">
        <v>370</v>
      </c>
      <c r="L274">
        <v>9.93</v>
      </c>
      <c r="M274">
        <v>4.28</v>
      </c>
      <c r="N274">
        <v>0.4310171198388721</v>
      </c>
      <c r="O274">
        <v>14</v>
      </c>
      <c r="P274">
        <v>0.04990444580451969</v>
      </c>
      <c r="Q274">
        <v>0.234627985071759</v>
      </c>
      <c r="R274" t="s">
        <v>779</v>
      </c>
      <c r="S274" t="s">
        <v>786</v>
      </c>
      <c r="T274">
        <v>154933.0437</v>
      </c>
      <c r="U274" s="2">
        <v>44490</v>
      </c>
      <c r="V274" t="s">
        <v>795</v>
      </c>
    </row>
    <row r="275" spans="1:22">
      <c r="A275" s="1" t="s">
        <v>295</v>
      </c>
      <c r="B275">
        <f>HYPERLINK("https://www.suredividend.com/sure-analysis-IFF/","International Flavors &amp; Fragrances Inc.")</f>
        <v>0</v>
      </c>
      <c r="C275">
        <v>151.13</v>
      </c>
      <c r="D275">
        <v>119</v>
      </c>
      <c r="E275">
        <v>1.27</v>
      </c>
      <c r="F275">
        <v>0.0209091510619996</v>
      </c>
      <c r="G275">
        <v>-0.04667878942197823</v>
      </c>
      <c r="H275">
        <v>0.04</v>
      </c>
      <c r="I275">
        <v>0.01437753755619497</v>
      </c>
      <c r="J275" t="s">
        <v>776</v>
      </c>
      <c r="K275" t="s">
        <v>370</v>
      </c>
      <c r="L275">
        <v>5.94</v>
      </c>
      <c r="M275">
        <v>3.16</v>
      </c>
      <c r="N275">
        <v>0.531986531986532</v>
      </c>
      <c r="O275">
        <v>19</v>
      </c>
      <c r="P275">
        <v>0.03482958654183155</v>
      </c>
      <c r="Q275">
        <v>0.395374268686095</v>
      </c>
      <c r="R275" t="s">
        <v>779</v>
      </c>
      <c r="S275" t="s">
        <v>787</v>
      </c>
      <c r="T275">
        <v>38976.235721</v>
      </c>
      <c r="U275" s="2">
        <v>44424</v>
      </c>
      <c r="V275" t="s">
        <v>800</v>
      </c>
    </row>
    <row r="276" spans="1:22">
      <c r="A276" s="1" t="s">
        <v>296</v>
      </c>
      <c r="B276">
        <f>HYPERLINK("https://www.suredividend.com/sure-analysis-MGRC/","McGrath Rentcorp")</f>
        <v>0</v>
      </c>
      <c r="C276">
        <v>79.09999999999999</v>
      </c>
      <c r="D276">
        <v>65</v>
      </c>
      <c r="E276">
        <v>1.216923076923077</v>
      </c>
      <c r="F276">
        <v>0.02199747155499368</v>
      </c>
      <c r="G276">
        <v>-0.03850423734259634</v>
      </c>
      <c r="H276">
        <v>0.03</v>
      </c>
      <c r="I276">
        <v>0.01419577305353403</v>
      </c>
      <c r="J276" t="s">
        <v>776</v>
      </c>
      <c r="K276" t="s">
        <v>776</v>
      </c>
      <c r="L276">
        <v>3.69</v>
      </c>
      <c r="M276">
        <v>1.74</v>
      </c>
      <c r="N276">
        <v>0.4715447154471545</v>
      </c>
      <c r="O276">
        <v>30</v>
      </c>
      <c r="P276">
        <v>0.0302922291651091</v>
      </c>
      <c r="Q276">
        <v>0.300337784345806</v>
      </c>
      <c r="R276" t="s">
        <v>779</v>
      </c>
      <c r="S276" t="s">
        <v>786</v>
      </c>
      <c r="T276">
        <v>1911.599421</v>
      </c>
      <c r="U276" s="2">
        <v>44498</v>
      </c>
      <c r="V276" t="s">
        <v>795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259.47</v>
      </c>
      <c r="D277">
        <v>151</v>
      </c>
      <c r="E277">
        <v>1.718344370860927</v>
      </c>
      <c r="F277">
        <v>0.006474736963810845</v>
      </c>
      <c r="G277">
        <v>-0.1026167498093579</v>
      </c>
      <c r="H277">
        <v>0.12</v>
      </c>
      <c r="I277">
        <v>0.01345896525848178</v>
      </c>
      <c r="J277" t="s">
        <v>776</v>
      </c>
      <c r="K277" t="s">
        <v>514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0.196644912258235</v>
      </c>
      <c r="R277" t="s">
        <v>779</v>
      </c>
      <c r="S277" t="s">
        <v>784</v>
      </c>
      <c r="T277">
        <v>38128.460104</v>
      </c>
      <c r="U277" s="2">
        <v>44508</v>
      </c>
      <c r="V277" t="s">
        <v>797</v>
      </c>
    </row>
    <row r="278" spans="1:22">
      <c r="A278" s="1" t="s">
        <v>298</v>
      </c>
      <c r="B278">
        <f>HYPERLINK("https://www.suredividend.com/sure-analysis-TR/","Tootsie Roll Industries, Inc.")</f>
        <v>0</v>
      </c>
      <c r="C278">
        <v>32.27</v>
      </c>
      <c r="D278">
        <v>28</v>
      </c>
      <c r="E278">
        <v>1.1525</v>
      </c>
      <c r="F278">
        <v>0.01115587232723892</v>
      </c>
      <c r="G278">
        <v>-0.02798758228634624</v>
      </c>
      <c r="H278">
        <v>0.03</v>
      </c>
      <c r="I278">
        <v>0.01203807607015128</v>
      </c>
      <c r="J278" t="s">
        <v>776</v>
      </c>
      <c r="K278" t="s">
        <v>514</v>
      </c>
      <c r="L278">
        <v>0.92</v>
      </c>
      <c r="M278">
        <v>0.36</v>
      </c>
      <c r="N278">
        <v>0.3913043478260869</v>
      </c>
      <c r="O278">
        <v>0</v>
      </c>
      <c r="P278">
        <v>0</v>
      </c>
      <c r="Q278">
        <v>0.154024567727679</v>
      </c>
      <c r="R278" t="s">
        <v>779</v>
      </c>
      <c r="S278" t="s">
        <v>789</v>
      </c>
      <c r="T278">
        <v>1303.665538</v>
      </c>
      <c r="U278" s="2">
        <v>44430</v>
      </c>
      <c r="V278" t="s">
        <v>800</v>
      </c>
    </row>
    <row r="279" spans="1:22">
      <c r="A279" s="1" t="s">
        <v>299</v>
      </c>
      <c r="B279">
        <f>HYPERLINK("https://www.suredividend.com/sure-analysis-INGR/","Ingredion Inc")</f>
        <v>0</v>
      </c>
      <c r="C279">
        <v>100.64</v>
      </c>
      <c r="D279">
        <v>79</v>
      </c>
      <c r="E279">
        <v>1.273924050632911</v>
      </c>
      <c r="F279">
        <v>0.02583465818759937</v>
      </c>
      <c r="G279">
        <v>-0.04726681481141937</v>
      </c>
      <c r="H279">
        <v>0.03</v>
      </c>
      <c r="I279">
        <v>0.01171042290330182</v>
      </c>
      <c r="J279" t="s">
        <v>776</v>
      </c>
      <c r="K279" t="s">
        <v>776</v>
      </c>
      <c r="L279">
        <v>5.3</v>
      </c>
      <c r="M279">
        <v>2.6</v>
      </c>
      <c r="N279">
        <v>0.4905660377358491</v>
      </c>
      <c r="O279">
        <v>11</v>
      </c>
      <c r="P279">
        <v>0.05010553388446692</v>
      </c>
      <c r="Q279">
        <v>0.4072347892815421</v>
      </c>
      <c r="R279" t="s">
        <v>779</v>
      </c>
      <c r="S279" t="s">
        <v>789</v>
      </c>
      <c r="T279">
        <v>6637.624576</v>
      </c>
      <c r="U279" s="2">
        <v>44509</v>
      </c>
      <c r="V279" t="s">
        <v>805</v>
      </c>
    </row>
    <row r="280" spans="1:22">
      <c r="A280" s="1" t="s">
        <v>300</v>
      </c>
      <c r="B280">
        <f>HYPERLINK("https://www.suredividend.com/sure-analysis-HON/","Honeywell International Inc")</f>
        <v>0</v>
      </c>
      <c r="C280">
        <v>225.41</v>
      </c>
      <c r="D280">
        <v>137</v>
      </c>
      <c r="E280">
        <v>1.645328467153285</v>
      </c>
      <c r="F280">
        <v>0.01739053280688523</v>
      </c>
      <c r="G280">
        <v>-0.09478971944979797</v>
      </c>
      <c r="H280">
        <v>0.09</v>
      </c>
      <c r="I280">
        <v>0.009531457189397408</v>
      </c>
      <c r="J280" t="s">
        <v>776</v>
      </c>
      <c r="K280" t="s">
        <v>370</v>
      </c>
      <c r="L280">
        <v>8.050000000000001</v>
      </c>
      <c r="M280">
        <v>3.92</v>
      </c>
      <c r="N280">
        <v>0.4869565217391304</v>
      </c>
      <c r="O280">
        <v>12</v>
      </c>
      <c r="P280">
        <v>0.08994918009420316</v>
      </c>
      <c r="Q280">
        <v>0.176335689792402</v>
      </c>
      <c r="R280" t="s">
        <v>779</v>
      </c>
      <c r="S280" t="s">
        <v>786</v>
      </c>
      <c r="T280">
        <v>156788.332556</v>
      </c>
      <c r="U280" s="2">
        <v>44491</v>
      </c>
      <c r="V280" t="s">
        <v>795</v>
      </c>
    </row>
    <row r="281" spans="1:22">
      <c r="A281" s="1" t="s">
        <v>301</v>
      </c>
      <c r="B281">
        <f>HYPERLINK("https://www.suredividend.com/sure-analysis-AJG/","Arthur J. Gallagher &amp; Co.")</f>
        <v>0</v>
      </c>
      <c r="C281">
        <v>161.19</v>
      </c>
      <c r="D281">
        <v>123</v>
      </c>
      <c r="E281">
        <v>1.310487804878049</v>
      </c>
      <c r="F281">
        <v>0.01191140889633352</v>
      </c>
      <c r="G281">
        <v>-0.0526435785590651</v>
      </c>
      <c r="H281">
        <v>0.05</v>
      </c>
      <c r="I281">
        <v>0.008455590285131986</v>
      </c>
      <c r="J281" t="s">
        <v>776</v>
      </c>
      <c r="K281" t="s">
        <v>514</v>
      </c>
      <c r="L281">
        <v>5.35</v>
      </c>
      <c r="M281">
        <v>1.92</v>
      </c>
      <c r="N281">
        <v>0.3588785046728972</v>
      </c>
      <c r="O281">
        <v>11</v>
      </c>
      <c r="P281">
        <v>0.04996052445273014</v>
      </c>
      <c r="Q281">
        <v>0.49033303722235</v>
      </c>
      <c r="R281" t="s">
        <v>779</v>
      </c>
      <c r="S281" t="s">
        <v>790</v>
      </c>
      <c r="T281">
        <v>33487.83368</v>
      </c>
      <c r="U281" s="2">
        <v>44413</v>
      </c>
      <c r="V281" t="s">
        <v>798</v>
      </c>
    </row>
    <row r="282" spans="1:22">
      <c r="A282" s="1" t="s">
        <v>302</v>
      </c>
      <c r="B282">
        <f>HYPERLINK("https://www.suredividend.com/sure-analysis-CARR/","Carrier Global Corp")</f>
        <v>0</v>
      </c>
      <c r="C282">
        <v>54.63</v>
      </c>
      <c r="D282">
        <v>40</v>
      </c>
      <c r="E282">
        <v>1.36575</v>
      </c>
      <c r="F282">
        <v>0.008786381109280615</v>
      </c>
      <c r="G282">
        <v>-0.06043731966472921</v>
      </c>
      <c r="H282">
        <v>0.06</v>
      </c>
      <c r="I282">
        <v>0.007528982474974244</v>
      </c>
      <c r="J282" t="s">
        <v>776</v>
      </c>
      <c r="K282" t="s">
        <v>514</v>
      </c>
      <c r="L282">
        <v>2.2</v>
      </c>
      <c r="M282">
        <v>0.48</v>
      </c>
      <c r="N282">
        <v>0.2181818181818181</v>
      </c>
      <c r="O282">
        <v>1</v>
      </c>
      <c r="P282">
        <v>0.09626227935295417</v>
      </c>
      <c r="Q282">
        <v>0.427834568132795</v>
      </c>
      <c r="R282" t="s">
        <v>779</v>
      </c>
      <c r="S282" t="s">
        <v>786</v>
      </c>
      <c r="T282">
        <v>47497.520123</v>
      </c>
      <c r="U282" s="2">
        <v>44502</v>
      </c>
      <c r="V282" t="s">
        <v>799</v>
      </c>
    </row>
    <row r="283" spans="1:22">
      <c r="A283" s="1" t="s">
        <v>303</v>
      </c>
      <c r="B283">
        <f>HYPERLINK("https://www.suredividend.com/sure-analysis-WTRG/","Essential Utilities Inc")</f>
        <v>0</v>
      </c>
      <c r="C283">
        <v>47.35</v>
      </c>
      <c r="D283">
        <v>30</v>
      </c>
      <c r="E283">
        <v>1.578333333333333</v>
      </c>
      <c r="F283">
        <v>0.02259767687434002</v>
      </c>
      <c r="G283">
        <v>-0.08723231908322115</v>
      </c>
      <c r="H283">
        <v>0.07000000000000001</v>
      </c>
      <c r="I283">
        <v>0.004665244875027064</v>
      </c>
      <c r="J283" t="s">
        <v>776</v>
      </c>
      <c r="K283" t="s">
        <v>370</v>
      </c>
      <c r="L283">
        <v>1.68</v>
      </c>
      <c r="M283">
        <v>1.07</v>
      </c>
      <c r="N283">
        <v>0.636904761904762</v>
      </c>
      <c r="O283">
        <v>30</v>
      </c>
      <c r="P283">
        <v>0.05971834352437777</v>
      </c>
      <c r="Q283">
        <v>0.074635419983442</v>
      </c>
      <c r="R283" t="s">
        <v>779</v>
      </c>
      <c r="S283" t="s">
        <v>791</v>
      </c>
      <c r="T283">
        <v>11942.101175</v>
      </c>
      <c r="U283" s="2">
        <v>44502</v>
      </c>
      <c r="V283" t="s">
        <v>802</v>
      </c>
    </row>
    <row r="284" spans="1:22">
      <c r="A284" s="1" t="s">
        <v>304</v>
      </c>
      <c r="B284">
        <f>HYPERLINK("https://www.suredividend.com/sure-analysis-MWA/","Mueller Water Products Inc")</f>
        <v>0</v>
      </c>
      <c r="C284">
        <v>15.27</v>
      </c>
      <c r="D284">
        <v>11</v>
      </c>
      <c r="E284">
        <v>1.388181818181818</v>
      </c>
      <c r="F284">
        <v>0.01506221349050426</v>
      </c>
      <c r="G284">
        <v>-0.06349364319289996</v>
      </c>
      <c r="H284">
        <v>0.05</v>
      </c>
      <c r="I284">
        <v>0.0008520584499376316</v>
      </c>
      <c r="J284" t="s">
        <v>776</v>
      </c>
      <c r="K284" t="s">
        <v>514</v>
      </c>
      <c r="L284">
        <v>0.5</v>
      </c>
      <c r="M284">
        <v>0.23</v>
      </c>
      <c r="N284">
        <v>0.46</v>
      </c>
      <c r="O284">
        <v>8</v>
      </c>
      <c r="P284">
        <v>0.04012620718096094</v>
      </c>
      <c r="Q284">
        <v>0.355899436726157</v>
      </c>
      <c r="R284" t="s">
        <v>779</v>
      </c>
      <c r="S284" t="s">
        <v>786</v>
      </c>
      <c r="T284">
        <v>2446.584426</v>
      </c>
      <c r="U284" s="2">
        <v>44511</v>
      </c>
      <c r="V284" t="s">
        <v>794</v>
      </c>
    </row>
    <row r="285" spans="1:22">
      <c r="A285" s="1" t="s">
        <v>305</v>
      </c>
      <c r="B285">
        <f>HYPERLINK("https://www.suredividend.com/sure-analysis-NVO/","Novo Nordisk")</f>
        <v>0</v>
      </c>
      <c r="C285">
        <v>112.71</v>
      </c>
      <c r="D285">
        <v>75</v>
      </c>
      <c r="E285">
        <v>1.5028</v>
      </c>
      <c r="F285">
        <v>0.01401827699405554</v>
      </c>
      <c r="G285">
        <v>-0.07823595710151143</v>
      </c>
      <c r="H285">
        <v>0.06</v>
      </c>
      <c r="I285">
        <v>-0.004674802999615424</v>
      </c>
      <c r="J285" t="s">
        <v>776</v>
      </c>
      <c r="K285" t="s">
        <v>514</v>
      </c>
      <c r="L285">
        <v>3.4</v>
      </c>
      <c r="M285">
        <v>1.58</v>
      </c>
      <c r="N285">
        <v>0.4647058823529412</v>
      </c>
      <c r="O285">
        <v>0</v>
      </c>
      <c r="P285">
        <v>0.0703829372933884</v>
      </c>
      <c r="Q285">
        <v>0.712983671717156</v>
      </c>
      <c r="R285" t="s">
        <v>779</v>
      </c>
      <c r="S285" t="s">
        <v>784</v>
      </c>
      <c r="T285">
        <v>202285.00368</v>
      </c>
      <c r="U285" s="2">
        <v>44426</v>
      </c>
      <c r="V285" t="s">
        <v>800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333.48</v>
      </c>
      <c r="D286">
        <v>216</v>
      </c>
      <c r="E286">
        <v>1.543888888888889</v>
      </c>
      <c r="F286">
        <v>0.01343408900083963</v>
      </c>
      <c r="G286">
        <v>-0.08319538312108365</v>
      </c>
      <c r="H286">
        <v>0.065</v>
      </c>
      <c r="I286">
        <v>-0.006060774842242767</v>
      </c>
      <c r="J286" t="s">
        <v>776</v>
      </c>
      <c r="K286" t="s">
        <v>514</v>
      </c>
      <c r="L286">
        <v>10.8</v>
      </c>
      <c r="M286">
        <v>4.48</v>
      </c>
      <c r="N286">
        <v>0.4148148148148148</v>
      </c>
      <c r="O286">
        <v>12</v>
      </c>
      <c r="P286">
        <v>0.06988309640706269</v>
      </c>
      <c r="Q286">
        <v>0.339308159788034</v>
      </c>
      <c r="R286" t="s">
        <v>779</v>
      </c>
      <c r="S286" t="s">
        <v>786</v>
      </c>
      <c r="T286">
        <v>38942.873332</v>
      </c>
      <c r="U286" s="2">
        <v>44503</v>
      </c>
      <c r="V286" t="s">
        <v>797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314.27</v>
      </c>
      <c r="D287">
        <v>200</v>
      </c>
      <c r="E287">
        <v>1.57135</v>
      </c>
      <c r="F287">
        <v>0.0190918636840933</v>
      </c>
      <c r="G287">
        <v>-0.0864224600483936</v>
      </c>
      <c r="H287">
        <v>0.06</v>
      </c>
      <c r="I287">
        <v>-0.006245627880458349</v>
      </c>
      <c r="J287" t="s">
        <v>776</v>
      </c>
      <c r="K287" t="s">
        <v>776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0.025325045093196</v>
      </c>
      <c r="R287" t="s">
        <v>779</v>
      </c>
      <c r="S287" t="s">
        <v>787</v>
      </c>
      <c r="T287">
        <v>69473.084894</v>
      </c>
      <c r="U287" s="2">
        <v>44506</v>
      </c>
      <c r="V287" t="s">
        <v>797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127.78</v>
      </c>
      <c r="D288">
        <v>73.5</v>
      </c>
      <c r="E288">
        <v>1.738503401360544</v>
      </c>
      <c r="F288">
        <v>0.03349506965096259</v>
      </c>
      <c r="G288">
        <v>-0.104707614000862</v>
      </c>
      <c r="H288">
        <v>0.063</v>
      </c>
      <c r="I288">
        <v>-0.009515822760118198</v>
      </c>
      <c r="J288" t="s">
        <v>776</v>
      </c>
      <c r="K288" t="s">
        <v>776</v>
      </c>
      <c r="L288">
        <v>4.9</v>
      </c>
      <c r="M288">
        <v>4.28</v>
      </c>
      <c r="N288">
        <v>0.8734693877551021</v>
      </c>
      <c r="O288">
        <v>54</v>
      </c>
      <c r="P288">
        <v>0.0100752948556313</v>
      </c>
      <c r="Q288">
        <v>0.45679062853714</v>
      </c>
      <c r="R288" t="s">
        <v>781</v>
      </c>
      <c r="S288" t="s">
        <v>793</v>
      </c>
      <c r="T288">
        <v>9971.834851</v>
      </c>
      <c r="U288" s="2">
        <v>44421</v>
      </c>
      <c r="V288" t="s">
        <v>803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83.36</v>
      </c>
      <c r="D289">
        <v>52</v>
      </c>
      <c r="E289">
        <v>1.603076923076923</v>
      </c>
      <c r="F289">
        <v>0.01151631477927063</v>
      </c>
      <c r="G289">
        <v>-0.09006760358502308</v>
      </c>
      <c r="H289">
        <v>0.07000000000000001</v>
      </c>
      <c r="I289">
        <v>-0.01106357972115801</v>
      </c>
      <c r="J289" t="s">
        <v>776</v>
      </c>
      <c r="K289" t="s">
        <v>514</v>
      </c>
      <c r="L289">
        <v>2.95</v>
      </c>
      <c r="M289">
        <v>0.96</v>
      </c>
      <c r="N289">
        <v>0.3254237288135593</v>
      </c>
      <c r="O289">
        <v>1</v>
      </c>
      <c r="P289">
        <v>0.07056368416916192</v>
      </c>
      <c r="Q289">
        <v>0.331248974154265</v>
      </c>
      <c r="R289" t="s">
        <v>779</v>
      </c>
      <c r="S289" t="s">
        <v>786</v>
      </c>
      <c r="T289">
        <v>35485.199336</v>
      </c>
      <c r="U289" s="2">
        <v>44495</v>
      </c>
      <c r="V289" t="s">
        <v>799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130.86</v>
      </c>
      <c r="D290">
        <v>79</v>
      </c>
      <c r="E290">
        <v>1.656455696202532</v>
      </c>
      <c r="F290">
        <v>0.01520709154821947</v>
      </c>
      <c r="G290">
        <v>-0.09600914916137959</v>
      </c>
      <c r="H290">
        <v>0.07000000000000001</v>
      </c>
      <c r="I290">
        <v>-0.01224219054208775</v>
      </c>
      <c r="J290" t="s">
        <v>776</v>
      </c>
      <c r="K290" t="s">
        <v>370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0.239620932273796</v>
      </c>
      <c r="R290" t="s">
        <v>779</v>
      </c>
      <c r="S290" t="s">
        <v>786</v>
      </c>
      <c r="T290">
        <v>93593.439921</v>
      </c>
      <c r="U290" s="2">
        <v>44490</v>
      </c>
      <c r="V290" t="s">
        <v>795</v>
      </c>
    </row>
    <row r="291" spans="1:22">
      <c r="A291" s="1" t="s">
        <v>311</v>
      </c>
      <c r="B291">
        <f>HYPERLINK("https://www.suredividend.com/sure-analysis-TT/","Trane Technologies plc")</f>
        <v>0</v>
      </c>
      <c r="C291">
        <v>189.45</v>
      </c>
      <c r="D291">
        <v>121</v>
      </c>
      <c r="E291">
        <v>1.565702479338843</v>
      </c>
      <c r="F291">
        <v>0.01245711269464239</v>
      </c>
      <c r="G291">
        <v>-0.08576435034020802</v>
      </c>
      <c r="H291">
        <v>0.06</v>
      </c>
      <c r="I291">
        <v>-0.0145844454772841</v>
      </c>
      <c r="J291" t="s">
        <v>776</v>
      </c>
      <c r="K291" t="s">
        <v>514</v>
      </c>
      <c r="L291">
        <v>6.05</v>
      </c>
      <c r="M291">
        <v>2.36</v>
      </c>
      <c r="N291">
        <v>0.3900826446280992</v>
      </c>
      <c r="O291">
        <v>1</v>
      </c>
      <c r="P291">
        <v>0.0601199707922162</v>
      </c>
      <c r="Q291">
        <v>0.318990569293977</v>
      </c>
      <c r="R291" t="s">
        <v>779</v>
      </c>
      <c r="S291" t="s">
        <v>786</v>
      </c>
      <c r="T291">
        <v>45023.365338</v>
      </c>
      <c r="U291" s="2">
        <v>44511</v>
      </c>
      <c r="V291" t="s">
        <v>799</v>
      </c>
    </row>
    <row r="292" spans="1:22">
      <c r="A292" s="1" t="s">
        <v>312</v>
      </c>
      <c r="B292">
        <f>HYPERLINK("https://www.suredividend.com/sure-analysis-ESS/","Essex Property Trust, Inc.")</f>
        <v>0</v>
      </c>
      <c r="C292">
        <v>342.79</v>
      </c>
      <c r="D292">
        <v>224</v>
      </c>
      <c r="E292">
        <v>1.5303125</v>
      </c>
      <c r="F292">
        <v>0.02438810933807871</v>
      </c>
      <c r="G292">
        <v>-0.08157441225366757</v>
      </c>
      <c r="H292">
        <v>0.038</v>
      </c>
      <c r="I292">
        <v>-0.0176293408584921</v>
      </c>
      <c r="J292" t="s">
        <v>776</v>
      </c>
      <c r="K292" t="s">
        <v>370</v>
      </c>
      <c r="L292">
        <v>12.44</v>
      </c>
      <c r="M292">
        <v>8.359999999999999</v>
      </c>
      <c r="N292">
        <v>0.6720257234726688</v>
      </c>
      <c r="O292">
        <v>27</v>
      </c>
      <c r="P292">
        <v>0.01486259611873031</v>
      </c>
      <c r="Q292">
        <v>0.379086420022987</v>
      </c>
      <c r="R292" t="s">
        <v>781</v>
      </c>
      <c r="S292" t="s">
        <v>793</v>
      </c>
      <c r="T292">
        <v>22171.518752</v>
      </c>
      <c r="U292" s="2">
        <v>44503</v>
      </c>
      <c r="V292" t="s">
        <v>803</v>
      </c>
    </row>
    <row r="293" spans="1:22">
      <c r="A293" s="1" t="s">
        <v>313</v>
      </c>
      <c r="B293">
        <f>HYPERLINK("https://www.suredividend.com/sure-analysis-UNF/","Unifirst Corp.")</f>
        <v>0</v>
      </c>
      <c r="C293">
        <v>204.4</v>
      </c>
      <c r="D293">
        <v>130</v>
      </c>
      <c r="E293">
        <v>1.572307692307692</v>
      </c>
      <c r="F293">
        <v>0.005870841487279843</v>
      </c>
      <c r="G293">
        <v>-0.08653377915363714</v>
      </c>
      <c r="H293">
        <v>0.063</v>
      </c>
      <c r="I293">
        <v>-0.0202807487145199</v>
      </c>
      <c r="J293" t="s">
        <v>776</v>
      </c>
      <c r="K293" t="s">
        <v>514</v>
      </c>
      <c r="L293">
        <v>5.9</v>
      </c>
      <c r="M293">
        <v>1.2</v>
      </c>
      <c r="N293">
        <v>0.2033898305084746</v>
      </c>
      <c r="O293">
        <v>4</v>
      </c>
      <c r="P293">
        <v>0.09970250059947383</v>
      </c>
      <c r="Q293">
        <v>0.143048702441078</v>
      </c>
      <c r="R293" t="s">
        <v>779</v>
      </c>
      <c r="S293" t="s">
        <v>786</v>
      </c>
      <c r="T293">
        <v>3140.996501</v>
      </c>
      <c r="U293" s="2">
        <v>44491</v>
      </c>
      <c r="V293" t="s">
        <v>801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134.57</v>
      </c>
      <c r="D294">
        <v>86</v>
      </c>
      <c r="E294">
        <v>1.564767441860465</v>
      </c>
      <c r="F294">
        <v>0.02229323028906889</v>
      </c>
      <c r="G294">
        <v>-0.08565511489478994</v>
      </c>
      <c r="H294">
        <v>0.03</v>
      </c>
      <c r="I294">
        <v>-0.02826568883906089</v>
      </c>
      <c r="J294" t="s">
        <v>776</v>
      </c>
      <c r="K294" t="s">
        <v>776</v>
      </c>
      <c r="L294">
        <v>6.6</v>
      </c>
      <c r="M294">
        <v>3</v>
      </c>
      <c r="N294">
        <v>0.4545454545454546</v>
      </c>
      <c r="O294">
        <v>28</v>
      </c>
      <c r="P294">
        <v>0.04000235313991807</v>
      </c>
      <c r="Q294">
        <v>0.6954067526286051</v>
      </c>
      <c r="R294" t="s">
        <v>779</v>
      </c>
      <c r="S294" t="s">
        <v>790</v>
      </c>
      <c r="T294">
        <v>8642.303685000001</v>
      </c>
      <c r="U294" s="2">
        <v>44504</v>
      </c>
      <c r="V294" t="s">
        <v>799</v>
      </c>
    </row>
    <row r="295" spans="1:22">
      <c r="A295" s="1" t="s">
        <v>315</v>
      </c>
      <c r="B295">
        <f>HYPERLINK("https://www.suredividend.com/sure-analysis-WM/","Waste Management, Inc.")</f>
        <v>0</v>
      </c>
      <c r="C295">
        <v>162.08</v>
      </c>
      <c r="D295">
        <v>98</v>
      </c>
      <c r="E295">
        <v>1.653877551020408</v>
      </c>
      <c r="F295">
        <v>0.01419052319842053</v>
      </c>
      <c r="G295">
        <v>-0.09572748770711625</v>
      </c>
      <c r="H295">
        <v>0.05</v>
      </c>
      <c r="I295">
        <v>-0.03104876260566236</v>
      </c>
      <c r="J295" t="s">
        <v>776</v>
      </c>
      <c r="K295" t="s">
        <v>514</v>
      </c>
      <c r="L295">
        <v>4.9</v>
      </c>
      <c r="M295">
        <v>2.3</v>
      </c>
      <c r="N295">
        <v>0.4693877551020407</v>
      </c>
      <c r="O295">
        <v>18</v>
      </c>
      <c r="P295">
        <v>0.05032547432346712</v>
      </c>
      <c r="Q295">
        <v>0.342139635339702</v>
      </c>
      <c r="R295" t="s">
        <v>779</v>
      </c>
      <c r="S295" t="s">
        <v>786</v>
      </c>
      <c r="T295">
        <v>66754.92425</v>
      </c>
      <c r="U295" s="2">
        <v>44496</v>
      </c>
      <c r="V295" t="s">
        <v>799</v>
      </c>
    </row>
    <row r="296" spans="1:22">
      <c r="A296" s="1" t="s">
        <v>316</v>
      </c>
      <c r="B296">
        <f>HYPERLINK("https://www.suredividend.com/sure-analysis-UMBF/","UMB Financial Corp.")</f>
        <v>0</v>
      </c>
      <c r="C296">
        <v>105.1</v>
      </c>
      <c r="D296">
        <v>94</v>
      </c>
      <c r="E296">
        <v>1.118085106382979</v>
      </c>
      <c r="F296">
        <v>0.01408182683158896</v>
      </c>
      <c r="G296">
        <v>-0.02207617362477787</v>
      </c>
      <c r="H296">
        <v>-0.03</v>
      </c>
      <c r="I296">
        <v>-0.03308556891140713</v>
      </c>
      <c r="J296" t="s">
        <v>776</v>
      </c>
      <c r="K296" t="s">
        <v>514</v>
      </c>
      <c r="L296">
        <v>7.2</v>
      </c>
      <c r="M296">
        <v>1.48</v>
      </c>
      <c r="N296">
        <v>0.2055555555555555</v>
      </c>
      <c r="O296">
        <v>30</v>
      </c>
      <c r="P296">
        <v>0.03051269507716325</v>
      </c>
      <c r="Q296">
        <v>0.574829180622989</v>
      </c>
      <c r="R296" t="s">
        <v>779</v>
      </c>
      <c r="S296" t="s">
        <v>790</v>
      </c>
      <c r="T296">
        <v>5068.001926</v>
      </c>
      <c r="U296" s="2">
        <v>44407</v>
      </c>
      <c r="V296" t="s">
        <v>798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229.85</v>
      </c>
      <c r="D297">
        <v>128</v>
      </c>
      <c r="E297">
        <v>1.795703125</v>
      </c>
      <c r="F297">
        <v>0.01801174679138568</v>
      </c>
      <c r="G297">
        <v>-0.1104853763132433</v>
      </c>
      <c r="H297">
        <v>0.055</v>
      </c>
      <c r="I297">
        <v>-0.03605083974306988</v>
      </c>
      <c r="J297" t="s">
        <v>776</v>
      </c>
      <c r="K297" t="s">
        <v>370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0.002485802703055</v>
      </c>
      <c r="R297" t="s">
        <v>779</v>
      </c>
      <c r="S297" t="s">
        <v>790</v>
      </c>
      <c r="T297">
        <v>10435.034243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74.77</v>
      </c>
      <c r="D298">
        <v>55</v>
      </c>
      <c r="E298">
        <v>1.359454545454545</v>
      </c>
      <c r="F298">
        <v>0.02300387856092016</v>
      </c>
      <c r="G298">
        <v>-0.05956872896040999</v>
      </c>
      <c r="H298">
        <v>-0.02</v>
      </c>
      <c r="I298">
        <v>-0.04762049007843849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0.177734610574694</v>
      </c>
      <c r="R298" t="s">
        <v>779</v>
      </c>
      <c r="S298" t="s">
        <v>790</v>
      </c>
      <c r="T298">
        <v>4001.259381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264.65</v>
      </c>
      <c r="D299">
        <v>140</v>
      </c>
      <c r="E299">
        <v>1.890357142857143</v>
      </c>
      <c r="F299">
        <v>0.01284715662195352</v>
      </c>
      <c r="G299">
        <v>-0.1195773081099074</v>
      </c>
      <c r="H299">
        <v>0.04</v>
      </c>
      <c r="I299">
        <v>-0.06349116186594861</v>
      </c>
      <c r="J299" t="s">
        <v>776</v>
      </c>
      <c r="K299" t="s">
        <v>514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0.8723564808959181</v>
      </c>
      <c r="R299" t="s">
        <v>779</v>
      </c>
      <c r="S299" t="s">
        <v>784</v>
      </c>
      <c r="T299">
        <v>250646.338814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132.27</v>
      </c>
      <c r="D300">
        <v>54</v>
      </c>
      <c r="E300">
        <v>2.449444444444445</v>
      </c>
      <c r="F300">
        <v>0.008467528540107357</v>
      </c>
      <c r="G300">
        <v>-0.1640381060156552</v>
      </c>
      <c r="H300">
        <v>0.09</v>
      </c>
      <c r="I300">
        <v>-0.07310994111638269</v>
      </c>
      <c r="J300" t="s">
        <v>776</v>
      </c>
      <c r="K300" t="s">
        <v>514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0.437952422956833</v>
      </c>
      <c r="R300" t="s">
        <v>779</v>
      </c>
      <c r="S300" t="s">
        <v>786</v>
      </c>
      <c r="T300">
        <v>24075.227065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4.61</v>
      </c>
      <c r="D301">
        <v>12</v>
      </c>
      <c r="E301">
        <v>0.3841666666666667</v>
      </c>
      <c r="F301">
        <v>0.008676789587852495</v>
      </c>
      <c r="G301">
        <v>0.2108659424363806</v>
      </c>
      <c r="H301">
        <v>0</v>
      </c>
      <c r="I301">
        <v>0.2572265021163402</v>
      </c>
      <c r="J301" t="s">
        <v>370</v>
      </c>
      <c r="K301" t="s">
        <v>514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-0.5764274216031</v>
      </c>
      <c r="R301" t="s">
        <v>780</v>
      </c>
      <c r="S301" t="s">
        <v>792</v>
      </c>
      <c r="T301">
        <v>157.130508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80.95999999999999</v>
      </c>
      <c r="D302">
        <v>144</v>
      </c>
      <c r="E302">
        <v>0.5622222222222222</v>
      </c>
      <c r="F302">
        <v>0.02161561264822134</v>
      </c>
      <c r="G302">
        <v>0.1220659886755362</v>
      </c>
      <c r="H302">
        <v>0.08</v>
      </c>
      <c r="I302">
        <v>0.2232339307211126</v>
      </c>
      <c r="J302" t="s">
        <v>370</v>
      </c>
      <c r="K302" t="s">
        <v>370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1.651590250641152</v>
      </c>
      <c r="R302" t="s">
        <v>779</v>
      </c>
      <c r="S302" t="s">
        <v>785</v>
      </c>
      <c r="T302">
        <v>46009.879439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HYPERLINK("https://www.suredividend.com/sure-analysis-MFGP/","Micro Focus International Plc")</f>
        <v>0</v>
      </c>
      <c r="C303">
        <v>5.28</v>
      </c>
      <c r="D303">
        <v>9.17</v>
      </c>
      <c r="E303">
        <v>0.5757906215921483</v>
      </c>
      <c r="F303">
        <v>0.03409090909090909</v>
      </c>
      <c r="G303">
        <v>0.1167271699100134</v>
      </c>
      <c r="H303">
        <v>0.04</v>
      </c>
      <c r="I303">
        <v>0.1818335039367402</v>
      </c>
      <c r="J303" t="s">
        <v>370</v>
      </c>
      <c r="K303" t="s">
        <v>776</v>
      </c>
      <c r="L303">
        <v>1.31</v>
      </c>
      <c r="M303">
        <v>0.18</v>
      </c>
      <c r="N303">
        <v>0.1374045801526717</v>
      </c>
      <c r="O303">
        <v>1</v>
      </c>
      <c r="P303">
        <v>0.04095039696925684</v>
      </c>
      <c r="Q303">
        <v>0.720847382148991</v>
      </c>
      <c r="R303" t="s">
        <v>779</v>
      </c>
      <c r="S303" t="s">
        <v>785</v>
      </c>
      <c r="T303">
        <v>1815.816198</v>
      </c>
      <c r="U303" s="2">
        <v>44384</v>
      </c>
      <c r="V303" t="s">
        <v>795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14.54</v>
      </c>
      <c r="D304">
        <v>29</v>
      </c>
      <c r="E304">
        <v>0.5013793103448275</v>
      </c>
      <c r="F304">
        <v>0.01513067400275103</v>
      </c>
      <c r="G304">
        <v>0.1480656372596585</v>
      </c>
      <c r="H304">
        <v>0.02</v>
      </c>
      <c r="I304">
        <v>0.1793867270695986</v>
      </c>
      <c r="J304" t="s">
        <v>370</v>
      </c>
      <c r="K304" t="s">
        <v>514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-0.095210889761041</v>
      </c>
      <c r="R304" t="s">
        <v>779</v>
      </c>
      <c r="S304" t="s">
        <v>784</v>
      </c>
      <c r="T304">
        <v>17620.862071</v>
      </c>
      <c r="U304" s="2">
        <v>44479</v>
      </c>
      <c r="V304" t="s">
        <v>805</v>
      </c>
    </row>
    <row r="305" spans="1:22">
      <c r="A305" s="1" t="s">
        <v>325</v>
      </c>
      <c r="B305">
        <f>HYPERLINK("https://www.suredividend.com/sure-analysis-TX/","Ternium S.A.")</f>
        <v>0</v>
      </c>
      <c r="C305">
        <v>41.13</v>
      </c>
      <c r="D305">
        <v>128</v>
      </c>
      <c r="E305">
        <v>0.321328125</v>
      </c>
      <c r="F305">
        <v>0.05105762217359591</v>
      </c>
      <c r="G305">
        <v>0.2549032730361194</v>
      </c>
      <c r="H305">
        <v>-0.1</v>
      </c>
      <c r="I305">
        <v>0.1676639306002545</v>
      </c>
      <c r="J305" t="s">
        <v>370</v>
      </c>
      <c r="K305" t="s">
        <v>776</v>
      </c>
      <c r="L305">
        <v>16</v>
      </c>
      <c r="M305">
        <v>2.1</v>
      </c>
      <c r="N305">
        <v>0.13125</v>
      </c>
      <c r="O305">
        <v>1</v>
      </c>
      <c r="P305">
        <v>0.08992507843838271</v>
      </c>
      <c r="Q305">
        <v>0.930459840937313</v>
      </c>
      <c r="R305" t="s">
        <v>779</v>
      </c>
      <c r="S305" t="s">
        <v>787</v>
      </c>
      <c r="T305">
        <v>8165.320031</v>
      </c>
      <c r="U305" s="2">
        <v>44442</v>
      </c>
      <c r="V305" t="s">
        <v>801</v>
      </c>
    </row>
    <row r="306" spans="1:22">
      <c r="A306" s="1" t="s">
        <v>326</v>
      </c>
      <c r="B306">
        <f>HYPERLINK("https://www.suredividend.com/sure-analysis-COLD/","Americold Realty Trust")</f>
        <v>0</v>
      </c>
      <c r="C306">
        <v>29.66</v>
      </c>
      <c r="D306">
        <v>44</v>
      </c>
      <c r="E306">
        <v>0.6740909090909091</v>
      </c>
      <c r="F306">
        <v>0.0296695886716116</v>
      </c>
      <c r="G306">
        <v>0.08207236551667285</v>
      </c>
      <c r="H306">
        <v>0.06</v>
      </c>
      <c r="I306">
        <v>0.1659938426643013</v>
      </c>
      <c r="J306" t="s">
        <v>370</v>
      </c>
      <c r="K306" t="s">
        <v>370</v>
      </c>
      <c r="L306">
        <v>1.37</v>
      </c>
      <c r="M306">
        <v>0.88</v>
      </c>
      <c r="N306">
        <v>0.6423357664233577</v>
      </c>
      <c r="O306">
        <v>3</v>
      </c>
      <c r="P306">
        <v>0.04563955259127317</v>
      </c>
      <c r="Q306">
        <v>-0.142958404484969</v>
      </c>
      <c r="R306" t="s">
        <v>781</v>
      </c>
      <c r="S306" t="s">
        <v>793</v>
      </c>
      <c r="T306">
        <v>7805.674546</v>
      </c>
      <c r="U306" s="2">
        <v>44418</v>
      </c>
      <c r="V306" t="s">
        <v>794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50.65</v>
      </c>
      <c r="D307">
        <v>65</v>
      </c>
      <c r="E307">
        <v>0.7792307692307692</v>
      </c>
      <c r="F307">
        <v>0.03948667324777887</v>
      </c>
      <c r="G307">
        <v>0.05115505069453263</v>
      </c>
      <c r="H307">
        <v>0.08</v>
      </c>
      <c r="I307">
        <v>0.1638981582898487</v>
      </c>
      <c r="J307" t="s">
        <v>370</v>
      </c>
      <c r="K307" t="s">
        <v>776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0.3483567390494841</v>
      </c>
      <c r="R307" t="s">
        <v>779</v>
      </c>
      <c r="S307" t="s">
        <v>790</v>
      </c>
      <c r="T307">
        <v>3659.778711</v>
      </c>
      <c r="U307" s="2">
        <v>44502</v>
      </c>
      <c r="V307" t="s">
        <v>794</v>
      </c>
    </row>
    <row r="308" spans="1:22">
      <c r="A308" s="1" t="s">
        <v>328</v>
      </c>
      <c r="B308">
        <f>HYPERLINK("https://www.suredividend.com/sure-analysis-JACK/","Jack In The Box, Inc.")</f>
        <v>0</v>
      </c>
      <c r="C308">
        <v>101.22</v>
      </c>
      <c r="D308">
        <v>130</v>
      </c>
      <c r="E308">
        <v>0.7786153846153846</v>
      </c>
      <c r="F308">
        <v>0.01699268919185931</v>
      </c>
      <c r="G308">
        <v>0.05132115587419328</v>
      </c>
      <c r="H308">
        <v>0.09</v>
      </c>
      <c r="I308">
        <v>0.1583798774651175</v>
      </c>
      <c r="J308" t="s">
        <v>370</v>
      </c>
      <c r="K308" t="s">
        <v>514</v>
      </c>
      <c r="L308">
        <v>7.2</v>
      </c>
      <c r="M308">
        <v>1.72</v>
      </c>
      <c r="N308">
        <v>0.2388888888888889</v>
      </c>
      <c r="O308">
        <v>0</v>
      </c>
      <c r="P308">
        <v>0.08614793340566318</v>
      </c>
      <c r="Q308">
        <v>0.305366701139598</v>
      </c>
      <c r="R308" t="s">
        <v>779</v>
      </c>
      <c r="S308" t="s">
        <v>788</v>
      </c>
      <c r="T308">
        <v>2273.128565</v>
      </c>
      <c r="U308" s="2">
        <v>44431</v>
      </c>
      <c r="V308" t="s">
        <v>802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54</v>
      </c>
      <c r="D309">
        <v>86</v>
      </c>
      <c r="E309">
        <v>0.6279069767441861</v>
      </c>
      <c r="F309">
        <v>0.02222222222222222</v>
      </c>
      <c r="G309">
        <v>0.09754146869121727</v>
      </c>
      <c r="H309">
        <v>0.03</v>
      </c>
      <c r="I309">
        <v>0.1508027179291254</v>
      </c>
      <c r="J309" t="s">
        <v>370</v>
      </c>
      <c r="K309" t="s">
        <v>514</v>
      </c>
      <c r="L309">
        <v>7.15</v>
      </c>
      <c r="M309">
        <v>1.2</v>
      </c>
      <c r="N309">
        <v>0.1678321678321678</v>
      </c>
      <c r="O309">
        <v>0</v>
      </c>
      <c r="P309">
        <v>0.1496540121887568</v>
      </c>
      <c r="Q309">
        <v>0.400418256887544</v>
      </c>
      <c r="R309" t="s">
        <v>779</v>
      </c>
      <c r="S309" t="s">
        <v>788</v>
      </c>
      <c r="T309">
        <v>5679.318118</v>
      </c>
      <c r="U309" s="2">
        <v>44437</v>
      </c>
      <c r="V309" t="s">
        <v>798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61.38</v>
      </c>
      <c r="D310">
        <v>81</v>
      </c>
      <c r="E310">
        <v>0.7577777777777778</v>
      </c>
      <c r="F310">
        <v>0.04235907461713913</v>
      </c>
      <c r="G310">
        <v>0.05704049889376561</v>
      </c>
      <c r="H310">
        <v>0.05</v>
      </c>
      <c r="I310">
        <v>0.1423146697077622</v>
      </c>
      <c r="J310" t="s">
        <v>370</v>
      </c>
      <c r="K310" t="s">
        <v>776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0.6841186266214691</v>
      </c>
      <c r="R310" t="s">
        <v>779</v>
      </c>
      <c r="S310" t="s">
        <v>786</v>
      </c>
      <c r="T310">
        <v>4173.216375</v>
      </c>
      <c r="U310" s="2">
        <v>44497</v>
      </c>
      <c r="V310" t="s">
        <v>794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23.26</v>
      </c>
      <c r="D311">
        <v>33</v>
      </c>
      <c r="E311">
        <v>0.7048484848484849</v>
      </c>
      <c r="F311">
        <v>0.05202063628546861</v>
      </c>
      <c r="G311">
        <v>0.0724593648764722</v>
      </c>
      <c r="H311">
        <v>0.03</v>
      </c>
      <c r="I311">
        <v>0.1399641328748813</v>
      </c>
      <c r="J311" t="s">
        <v>370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0.11906152647975</v>
      </c>
      <c r="R311" t="s">
        <v>779</v>
      </c>
      <c r="S311" t="s">
        <v>791</v>
      </c>
      <c r="T311">
        <v>2585.158806</v>
      </c>
      <c r="U311" s="2">
        <v>44414</v>
      </c>
      <c r="V311" t="s">
        <v>800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47.99</v>
      </c>
      <c r="D312">
        <v>60</v>
      </c>
      <c r="E312">
        <v>0.7998333333333334</v>
      </c>
      <c r="F312">
        <v>0.08647634923942489</v>
      </c>
      <c r="G312">
        <v>0.04568312635283611</v>
      </c>
      <c r="H312">
        <v>0.03</v>
      </c>
      <c r="I312">
        <v>0.1377483434894988</v>
      </c>
      <c r="J312" t="s">
        <v>370</v>
      </c>
      <c r="K312" t="s">
        <v>775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0.412617301103248</v>
      </c>
      <c r="R312" t="s">
        <v>780</v>
      </c>
      <c r="S312" t="s">
        <v>792</v>
      </c>
      <c r="T312">
        <v>10243.236972</v>
      </c>
      <c r="U312" s="2">
        <v>44504</v>
      </c>
      <c r="V312" t="s">
        <v>802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92.83</v>
      </c>
      <c r="D313">
        <v>190</v>
      </c>
      <c r="E313">
        <v>0.4885789473684211</v>
      </c>
      <c r="F313">
        <v>0.04869115587633308</v>
      </c>
      <c r="G313">
        <v>0.1540192415684629</v>
      </c>
      <c r="H313">
        <v>-0.05</v>
      </c>
      <c r="I313">
        <v>0.133932651186548</v>
      </c>
      <c r="J313" t="s">
        <v>370</v>
      </c>
      <c r="K313" t="s">
        <v>776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0.205609637602654</v>
      </c>
      <c r="R313" t="s">
        <v>779</v>
      </c>
      <c r="S313" t="s">
        <v>787</v>
      </c>
      <c r="T313">
        <v>30885.677843</v>
      </c>
      <c r="U313" s="2">
        <v>44502</v>
      </c>
      <c r="V313" t="s">
        <v>794</v>
      </c>
    </row>
    <row r="314" spans="1:22">
      <c r="A314" s="1" t="s">
        <v>334</v>
      </c>
      <c r="B314">
        <f>HYPERLINK("https://www.suredividend.com/sure-analysis-PNW/","Pinnacle West Capital Corp.")</f>
        <v>0</v>
      </c>
      <c r="C314">
        <v>64.53</v>
      </c>
      <c r="D314">
        <v>87</v>
      </c>
      <c r="E314">
        <v>0.7417241379310345</v>
      </c>
      <c r="F314">
        <v>0.05222377188904385</v>
      </c>
      <c r="G314">
        <v>0.06157704134938635</v>
      </c>
      <c r="H314">
        <v>0.03</v>
      </c>
      <c r="I314">
        <v>0.1328632669838492</v>
      </c>
      <c r="J314" t="s">
        <v>370</v>
      </c>
      <c r="K314" t="s">
        <v>775</v>
      </c>
      <c r="L314">
        <v>5</v>
      </c>
      <c r="M314">
        <v>3.37</v>
      </c>
      <c r="N314">
        <v>0.674</v>
      </c>
      <c r="O314">
        <v>9</v>
      </c>
      <c r="P314">
        <v>0.04994780736971771</v>
      </c>
      <c r="Q314">
        <v>-0.257097497745849</v>
      </c>
      <c r="R314" t="s">
        <v>779</v>
      </c>
      <c r="S314" t="s">
        <v>791</v>
      </c>
      <c r="T314">
        <v>7146.094856</v>
      </c>
      <c r="U314" s="2">
        <v>44443</v>
      </c>
      <c r="V314" t="s">
        <v>796</v>
      </c>
    </row>
    <row r="315" spans="1:22">
      <c r="A315" s="1" t="s">
        <v>335</v>
      </c>
      <c r="B315">
        <f>HYPERLINK("https://www.suredividend.com/sure-analysis-DKS/","Dicks Sporting Goods, Inc.")</f>
        <v>0</v>
      </c>
      <c r="C315">
        <v>130.08</v>
      </c>
      <c r="D315">
        <v>158.96</v>
      </c>
      <c r="E315">
        <v>0.8183190739808758</v>
      </c>
      <c r="F315">
        <v>0.01345325953259532</v>
      </c>
      <c r="G315">
        <v>0.04091547512279581</v>
      </c>
      <c r="H315">
        <v>0.075</v>
      </c>
      <c r="I315">
        <v>0.1299552359211242</v>
      </c>
      <c r="J315" t="s">
        <v>370</v>
      </c>
      <c r="K315" t="s">
        <v>514</v>
      </c>
      <c r="L315">
        <v>12.7</v>
      </c>
      <c r="M315">
        <v>1.75</v>
      </c>
      <c r="N315">
        <v>0.1377952755905512</v>
      </c>
      <c r="O315">
        <v>7</v>
      </c>
      <c r="P315">
        <v>0.08979006975364512</v>
      </c>
      <c r="Q315">
        <v>1.716066256499725</v>
      </c>
      <c r="R315" t="s">
        <v>779</v>
      </c>
      <c r="S315" t="s">
        <v>788</v>
      </c>
      <c r="T315">
        <v>8768.890824</v>
      </c>
      <c r="U315" s="2">
        <v>44439</v>
      </c>
      <c r="V315" t="s">
        <v>801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34.95</v>
      </c>
      <c r="D316">
        <v>42</v>
      </c>
      <c r="E316">
        <v>0.8321428571428572</v>
      </c>
      <c r="F316">
        <v>0.08297567954220314</v>
      </c>
      <c r="G316">
        <v>0.03743386853565633</v>
      </c>
      <c r="H316">
        <v>0.03</v>
      </c>
      <c r="I316">
        <v>0.129710970648673</v>
      </c>
      <c r="J316" t="s">
        <v>370</v>
      </c>
      <c r="K316" t="s">
        <v>775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0.118953071494027</v>
      </c>
      <c r="R316" t="s">
        <v>779</v>
      </c>
      <c r="S316" t="s">
        <v>789</v>
      </c>
      <c r="T316">
        <v>79853.041698</v>
      </c>
      <c r="U316" s="2">
        <v>44462</v>
      </c>
      <c r="V316" t="s">
        <v>797</v>
      </c>
    </row>
    <row r="317" spans="1:22">
      <c r="A317" s="1" t="s">
        <v>337</v>
      </c>
      <c r="B317">
        <f>HYPERLINK("https://www.suredividend.com/sure-analysis-ALLY/","Ally Financial Inc")</f>
        <v>0</v>
      </c>
      <c r="C317">
        <v>49.46</v>
      </c>
      <c r="D317">
        <v>68</v>
      </c>
      <c r="E317">
        <v>0.7273529411764706</v>
      </c>
      <c r="F317">
        <v>0.02021835826930853</v>
      </c>
      <c r="G317">
        <v>0.06573924871854953</v>
      </c>
      <c r="H317">
        <v>0.04</v>
      </c>
      <c r="I317">
        <v>0.12580194364075</v>
      </c>
      <c r="J317" t="s">
        <v>370</v>
      </c>
      <c r="K317" t="s">
        <v>514</v>
      </c>
      <c r="L317">
        <v>8.5</v>
      </c>
      <c r="M317">
        <v>1</v>
      </c>
      <c r="N317">
        <v>0.1176470588235294</v>
      </c>
      <c r="O317">
        <v>5</v>
      </c>
      <c r="P317">
        <v>0.09993032380125255</v>
      </c>
      <c r="Q317">
        <v>0.674193944521005</v>
      </c>
      <c r="R317" t="s">
        <v>779</v>
      </c>
      <c r="S317" t="s">
        <v>790</v>
      </c>
      <c r="T317">
        <v>17003.47152</v>
      </c>
      <c r="U317" s="2">
        <v>44498</v>
      </c>
      <c r="V317" t="s">
        <v>797</v>
      </c>
    </row>
    <row r="318" spans="1:22">
      <c r="A318" s="1" t="s">
        <v>338</v>
      </c>
      <c r="B318">
        <f>HYPERLINK("https://www.suredividend.com/sure-analysis-DGX/","Quest Diagnostics, Inc.")</f>
        <v>0</v>
      </c>
      <c r="C318">
        <v>144.78</v>
      </c>
      <c r="D318">
        <v>206</v>
      </c>
      <c r="E318">
        <v>0.7028155339805825</v>
      </c>
      <c r="F318">
        <v>0.01712943776764746</v>
      </c>
      <c r="G318">
        <v>0.0730790833751096</v>
      </c>
      <c r="H318">
        <v>0.03</v>
      </c>
      <c r="I318">
        <v>0.1190532352448106</v>
      </c>
      <c r="J318" t="s">
        <v>370</v>
      </c>
      <c r="K318" t="s">
        <v>514</v>
      </c>
      <c r="L318">
        <v>13.7</v>
      </c>
      <c r="M318">
        <v>2.48</v>
      </c>
      <c r="N318">
        <v>0.181021897810219</v>
      </c>
      <c r="O318">
        <v>10</v>
      </c>
      <c r="P318">
        <v>0.07010283006626494</v>
      </c>
      <c r="Q318">
        <v>0.191241027739988</v>
      </c>
      <c r="R318" t="s">
        <v>779</v>
      </c>
      <c r="S318" t="s">
        <v>784</v>
      </c>
      <c r="T318">
        <v>17423.497725</v>
      </c>
      <c r="U318" s="2">
        <v>44490</v>
      </c>
      <c r="V318" t="s">
        <v>796</v>
      </c>
    </row>
    <row r="319" spans="1:22">
      <c r="A319" s="1" t="s">
        <v>339</v>
      </c>
      <c r="B319">
        <f>HYPERLINK("https://www.suredividend.com/sure-analysis-THO/","Thor Industries, Inc.")</f>
        <v>0</v>
      </c>
      <c r="C319">
        <v>111.24</v>
      </c>
      <c r="D319">
        <v>144</v>
      </c>
      <c r="E319">
        <v>0.7725</v>
      </c>
      <c r="F319">
        <v>0.01546206400575333</v>
      </c>
      <c r="G319">
        <v>0.05298043637912775</v>
      </c>
      <c r="H319">
        <v>0.05</v>
      </c>
      <c r="I319">
        <v>0.1168745156843654</v>
      </c>
      <c r="J319" t="s">
        <v>370</v>
      </c>
      <c r="K319" t="s">
        <v>514</v>
      </c>
      <c r="L319">
        <v>12.5</v>
      </c>
      <c r="M319">
        <v>1.72</v>
      </c>
      <c r="N319">
        <v>0.1376</v>
      </c>
      <c r="O319">
        <v>11</v>
      </c>
      <c r="P319">
        <v>0.03471404488278096</v>
      </c>
      <c r="Q319">
        <v>0.362383697411003</v>
      </c>
      <c r="R319" t="s">
        <v>779</v>
      </c>
      <c r="S319" t="s">
        <v>788</v>
      </c>
      <c r="T319">
        <v>5966.819793</v>
      </c>
      <c r="U319" s="2">
        <v>44491</v>
      </c>
      <c r="V319" t="s">
        <v>801</v>
      </c>
    </row>
    <row r="320" spans="1:22">
      <c r="A320" s="1" t="s">
        <v>340</v>
      </c>
      <c r="B320">
        <f>HYPERLINK("https://www.suredividend.com/sure-analysis-TTE/","TotalEnergies SE")</f>
        <v>0</v>
      </c>
      <c r="C320">
        <v>50.12</v>
      </c>
      <c r="D320">
        <v>71</v>
      </c>
      <c r="E320">
        <v>0.7059154929577465</v>
      </c>
      <c r="F320">
        <v>0.06145251396648045</v>
      </c>
      <c r="G320">
        <v>0.07213495909497603</v>
      </c>
      <c r="H320">
        <v>0</v>
      </c>
      <c r="I320">
        <v>0.1164457613494767</v>
      </c>
      <c r="J320" t="s">
        <v>370</v>
      </c>
      <c r="K320" t="s">
        <v>775</v>
      </c>
      <c r="L320">
        <v>5.9</v>
      </c>
      <c r="M320">
        <v>3.08</v>
      </c>
      <c r="N320">
        <v>0.5220338983050847</v>
      </c>
      <c r="O320">
        <v>3</v>
      </c>
      <c r="P320">
        <v>0.01142428402057938</v>
      </c>
      <c r="Q320">
        <v>0.413643724136022</v>
      </c>
      <c r="R320" t="s">
        <v>779</v>
      </c>
      <c r="S320" t="s">
        <v>792</v>
      </c>
      <c r="T320">
        <v>134846.725832</v>
      </c>
      <c r="U320" s="2">
        <v>44501</v>
      </c>
      <c r="V320" t="s">
        <v>802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51.08</v>
      </c>
      <c r="D321">
        <v>75</v>
      </c>
      <c r="E321">
        <v>0.6810666666666666</v>
      </c>
      <c r="F321">
        <v>0.03445575567736883</v>
      </c>
      <c r="G321">
        <v>0.07984662425715405</v>
      </c>
      <c r="H321">
        <v>0.01</v>
      </c>
      <c r="I321">
        <v>0.1153287599157566</v>
      </c>
      <c r="J321" t="s">
        <v>370</v>
      </c>
      <c r="K321" t="s">
        <v>776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0.575864908110795</v>
      </c>
      <c r="R321" t="s">
        <v>779</v>
      </c>
      <c r="S321" t="s">
        <v>790</v>
      </c>
      <c r="T321">
        <v>14431.449701</v>
      </c>
      <c r="U321" s="2">
        <v>44511</v>
      </c>
      <c r="V321" t="s">
        <v>799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68.76000000000001</v>
      </c>
      <c r="D322">
        <v>77</v>
      </c>
      <c r="E322">
        <v>0.8929870129870131</v>
      </c>
      <c r="F322">
        <v>0.03374054682955206</v>
      </c>
      <c r="G322">
        <v>0.02289480141751454</v>
      </c>
      <c r="H322">
        <v>0.06</v>
      </c>
      <c r="I322">
        <v>0.1123856971917641</v>
      </c>
      <c r="J322" t="s">
        <v>370</v>
      </c>
      <c r="K322" t="s">
        <v>776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-0.03916163380400201</v>
      </c>
      <c r="R322" t="s">
        <v>779</v>
      </c>
      <c r="S322" t="s">
        <v>791</v>
      </c>
      <c r="T322">
        <v>3670.208423</v>
      </c>
      <c r="U322" s="2">
        <v>44502</v>
      </c>
      <c r="V322" t="s">
        <v>794</v>
      </c>
    </row>
    <row r="323" spans="1:22">
      <c r="A323" s="1" t="s">
        <v>343</v>
      </c>
      <c r="B323">
        <f>HYPERLINK("https://www.suredividend.com/sure-analysis-EQNR/","Equinor ASA")</f>
        <v>0</v>
      </c>
      <c r="C323">
        <v>25.77</v>
      </c>
      <c r="D323">
        <v>34.8</v>
      </c>
      <c r="E323">
        <v>0.7405172413793104</v>
      </c>
      <c r="F323">
        <v>0.02793946449359721</v>
      </c>
      <c r="G323">
        <v>0.06192284808149262</v>
      </c>
      <c r="H323">
        <v>0.02</v>
      </c>
      <c r="I323">
        <v>0.11142419647886</v>
      </c>
      <c r="J323" t="s">
        <v>370</v>
      </c>
      <c r="K323" t="s">
        <v>514</v>
      </c>
      <c r="L323">
        <v>2.9</v>
      </c>
      <c r="M323">
        <v>0.72</v>
      </c>
      <c r="N323">
        <v>0.2482758620689655</v>
      </c>
      <c r="O323">
        <v>0</v>
      </c>
      <c r="P323">
        <v>0.1305865872992673</v>
      </c>
      <c r="Q323">
        <v>0.9120772533413211</v>
      </c>
      <c r="R323" t="s">
        <v>779</v>
      </c>
      <c r="S323" t="s">
        <v>792</v>
      </c>
      <c r="T323">
        <v>87338.60742499999</v>
      </c>
      <c r="U323" s="2">
        <v>44502</v>
      </c>
      <c r="V323" t="s">
        <v>794</v>
      </c>
    </row>
    <row r="324" spans="1:22">
      <c r="A324" s="1" t="s">
        <v>344</v>
      </c>
      <c r="B324">
        <f>HYPERLINK("https://www.suredividend.com/sure-analysis-LRCX/","Lam Research Corp.")</f>
        <v>0</v>
      </c>
      <c r="C324">
        <v>605.78</v>
      </c>
      <c r="D324">
        <v>615</v>
      </c>
      <c r="E324">
        <v>0.9850081300813007</v>
      </c>
      <c r="F324">
        <v>0.008583974380138004</v>
      </c>
      <c r="G324">
        <v>0.003025644842367781</v>
      </c>
      <c r="H324">
        <v>0.1</v>
      </c>
      <c r="I324">
        <v>0.1107836087006582</v>
      </c>
      <c r="J324" t="s">
        <v>370</v>
      </c>
      <c r="K324" t="s">
        <v>777</v>
      </c>
      <c r="L324">
        <v>34.16</v>
      </c>
      <c r="M324">
        <v>5.2</v>
      </c>
      <c r="N324">
        <v>0.1522248243559719</v>
      </c>
      <c r="O324">
        <v>7</v>
      </c>
      <c r="P324">
        <v>0.08997698704834534</v>
      </c>
      <c r="Q324">
        <v>0.508135897373717</v>
      </c>
      <c r="R324" t="s">
        <v>779</v>
      </c>
      <c r="S324" t="s">
        <v>785</v>
      </c>
      <c r="T324">
        <v>87564.11765099999</v>
      </c>
      <c r="U324" s="2">
        <v>44499</v>
      </c>
      <c r="V324" t="s">
        <v>796</v>
      </c>
    </row>
    <row r="325" spans="1:22">
      <c r="A325" s="1" t="s">
        <v>345</v>
      </c>
      <c r="B325">
        <f>HYPERLINK("https://www.suredividend.com/sure-analysis-ALL/","Allstate Corp (The)")</f>
        <v>0</v>
      </c>
      <c r="C325">
        <v>114.11</v>
      </c>
      <c r="D325">
        <v>143</v>
      </c>
      <c r="E325">
        <v>0.7979720279720279</v>
      </c>
      <c r="F325">
        <v>0.0283936552449391</v>
      </c>
      <c r="G325">
        <v>0.04617049235380666</v>
      </c>
      <c r="H325">
        <v>0.04</v>
      </c>
      <c r="I325">
        <v>0.1105896122301737</v>
      </c>
      <c r="J325" t="s">
        <v>370</v>
      </c>
      <c r="K325" t="s">
        <v>370</v>
      </c>
      <c r="L325">
        <v>14.25</v>
      </c>
      <c r="M325">
        <v>3.24</v>
      </c>
      <c r="N325">
        <v>0.2273684210526316</v>
      </c>
      <c r="O325">
        <v>9</v>
      </c>
      <c r="P325">
        <v>0.05024607263868264</v>
      </c>
      <c r="Q325">
        <v>0.250578116891435</v>
      </c>
      <c r="R325" t="s">
        <v>779</v>
      </c>
      <c r="S325" t="s">
        <v>790</v>
      </c>
      <c r="T325">
        <v>33022.213163</v>
      </c>
      <c r="U325" s="2">
        <v>44505</v>
      </c>
      <c r="V325" t="s">
        <v>801</v>
      </c>
    </row>
    <row r="326" spans="1:22">
      <c r="A326" s="1" t="s">
        <v>346</v>
      </c>
      <c r="B326">
        <f>HYPERLINK("https://www.suredividend.com/sure-analysis-PHM/","PulteGroup Inc")</f>
        <v>0</v>
      </c>
      <c r="C326">
        <v>50.62</v>
      </c>
      <c r="D326">
        <v>61</v>
      </c>
      <c r="E326">
        <v>0.8298360655737704</v>
      </c>
      <c r="F326">
        <v>0.01106282101935994</v>
      </c>
      <c r="G326">
        <v>0.03801000332433868</v>
      </c>
      <c r="H326">
        <v>0.06</v>
      </c>
      <c r="I326">
        <v>0.1088783106542137</v>
      </c>
      <c r="J326" t="s">
        <v>370</v>
      </c>
      <c r="K326" t="s">
        <v>514</v>
      </c>
      <c r="L326">
        <v>7.13</v>
      </c>
      <c r="M326">
        <v>0.5600000000000001</v>
      </c>
      <c r="N326">
        <v>0.07854137447405331</v>
      </c>
      <c r="O326">
        <v>4</v>
      </c>
      <c r="P326">
        <v>0.04861016738492974</v>
      </c>
      <c r="Q326">
        <v>0.29223860236093</v>
      </c>
      <c r="R326" t="s">
        <v>779</v>
      </c>
      <c r="S326" t="s">
        <v>788</v>
      </c>
      <c r="T326">
        <v>13142.867974</v>
      </c>
      <c r="U326" s="2">
        <v>44498</v>
      </c>
      <c r="V326" t="s">
        <v>801</v>
      </c>
    </row>
    <row r="327" spans="1:22">
      <c r="A327" s="1" t="s">
        <v>347</v>
      </c>
      <c r="B327">
        <f>HYPERLINK("https://www.suredividend.com/sure-analysis-SNY/","Sanofi")</f>
        <v>0</v>
      </c>
      <c r="C327">
        <v>51.34</v>
      </c>
      <c r="D327">
        <v>61</v>
      </c>
      <c r="E327">
        <v>0.8416393442622951</v>
      </c>
      <c r="F327">
        <v>0.03759252045188936</v>
      </c>
      <c r="G327">
        <v>0.03508209017002151</v>
      </c>
      <c r="H327">
        <v>0.04</v>
      </c>
      <c r="I327">
        <v>0.106336804386024</v>
      </c>
      <c r="J327" t="s">
        <v>370</v>
      </c>
      <c r="K327" t="s">
        <v>776</v>
      </c>
      <c r="L327">
        <v>3.79</v>
      </c>
      <c r="M327">
        <v>1.93</v>
      </c>
      <c r="N327">
        <v>0.5092348284960422</v>
      </c>
      <c r="O327">
        <v>27</v>
      </c>
      <c r="P327">
        <v>0.04016469901021225</v>
      </c>
      <c r="Q327">
        <v>0.071853495233534</v>
      </c>
      <c r="R327" t="s">
        <v>779</v>
      </c>
      <c r="S327" t="s">
        <v>784</v>
      </c>
      <c r="T327">
        <v>129527.152698</v>
      </c>
      <c r="U327" s="2">
        <v>44501</v>
      </c>
      <c r="V327" t="s">
        <v>795</v>
      </c>
    </row>
    <row r="328" spans="1:22">
      <c r="A328" s="1" t="s">
        <v>348</v>
      </c>
      <c r="B328">
        <f>HYPERLINK("https://www.suredividend.com/sure-analysis-OGE/","Oge Energy Corp.")</f>
        <v>0</v>
      </c>
      <c r="C328">
        <v>34.31</v>
      </c>
      <c r="D328">
        <v>37</v>
      </c>
      <c r="E328">
        <v>0.9272972972972974</v>
      </c>
      <c r="F328">
        <v>0.04779947537161177</v>
      </c>
      <c r="G328">
        <v>0.01521073451428245</v>
      </c>
      <c r="H328">
        <v>0.05</v>
      </c>
      <c r="I328">
        <v>0.106019358406003</v>
      </c>
      <c r="J328" t="s">
        <v>370</v>
      </c>
      <c r="K328" t="s">
        <v>776</v>
      </c>
      <c r="L328">
        <v>2.17</v>
      </c>
      <c r="M328">
        <v>1.64</v>
      </c>
      <c r="N328">
        <v>0.7557603686635944</v>
      </c>
      <c r="O328">
        <v>15</v>
      </c>
      <c r="P328">
        <v>0.05168994430952489</v>
      </c>
      <c r="Q328">
        <v>0.09704559927442501</v>
      </c>
      <c r="R328" t="s">
        <v>779</v>
      </c>
      <c r="S328" t="s">
        <v>791</v>
      </c>
      <c r="T328">
        <v>6827.947454</v>
      </c>
      <c r="U328" s="2">
        <v>44508</v>
      </c>
      <c r="V328" t="s">
        <v>802</v>
      </c>
    </row>
    <row r="329" spans="1:22">
      <c r="A329" s="1" t="s">
        <v>349</v>
      </c>
      <c r="B329">
        <f>HYPERLINK("https://www.suredividend.com/sure-analysis-JBL/","Jabil Inc")</f>
        <v>0</v>
      </c>
      <c r="C329">
        <v>63.66</v>
      </c>
      <c r="D329">
        <v>73</v>
      </c>
      <c r="E329">
        <v>0.8720547945205479</v>
      </c>
      <c r="F329">
        <v>0.00502670436694942</v>
      </c>
      <c r="G329">
        <v>0.02775889733504977</v>
      </c>
      <c r="H329">
        <v>0.07000000000000001</v>
      </c>
      <c r="I329">
        <v>0.1036711477840775</v>
      </c>
      <c r="J329" t="s">
        <v>370</v>
      </c>
      <c r="K329" t="s">
        <v>777</v>
      </c>
      <c r="L329">
        <v>6.35</v>
      </c>
      <c r="M329">
        <v>0.32</v>
      </c>
      <c r="N329">
        <v>0.05039370078740158</v>
      </c>
      <c r="O329">
        <v>0</v>
      </c>
      <c r="P329">
        <v>0.05081623913789235</v>
      </c>
      <c r="Q329">
        <v>0.7251811874391171</v>
      </c>
      <c r="R329" t="s">
        <v>779</v>
      </c>
      <c r="S329" t="s">
        <v>785</v>
      </c>
      <c r="T329">
        <v>9113.237837999999</v>
      </c>
      <c r="U329" s="2">
        <v>44491</v>
      </c>
      <c r="V329" t="s">
        <v>801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4.85</v>
      </c>
      <c r="D330">
        <v>5.6</v>
      </c>
      <c r="E330">
        <v>0.8660714285714286</v>
      </c>
      <c r="F330">
        <v>0.03505154639175258</v>
      </c>
      <c r="G330">
        <v>0.02917507012710852</v>
      </c>
      <c r="H330">
        <v>0.04</v>
      </c>
      <c r="I330">
        <v>0.1022433184320299</v>
      </c>
      <c r="J330" t="s">
        <v>370</v>
      </c>
      <c r="K330" t="s">
        <v>370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0.5524795225093651</v>
      </c>
      <c r="R330" t="s">
        <v>779</v>
      </c>
      <c r="S330" t="s">
        <v>790</v>
      </c>
      <c r="T330">
        <v>10294.129148</v>
      </c>
      <c r="U330" s="2">
        <v>44438</v>
      </c>
      <c r="V330" t="s">
        <v>802</v>
      </c>
    </row>
    <row r="331" spans="1:22">
      <c r="A331" s="1" t="s">
        <v>351</v>
      </c>
      <c r="B331">
        <f>HYPERLINK("https://www.suredividend.com/sure-analysis-TYCB/","Calvin b. Taylor Bankshares, Inc.")</f>
        <v>0</v>
      </c>
      <c r="C331">
        <v>36.5</v>
      </c>
      <c r="D331">
        <v>39</v>
      </c>
      <c r="E331">
        <v>0.9358974358974359</v>
      </c>
      <c r="F331">
        <v>0.03178082191780822</v>
      </c>
      <c r="G331">
        <v>0.01333804570728625</v>
      </c>
      <c r="H331">
        <v>0.06</v>
      </c>
      <c r="I331">
        <v>0.1020632186653556</v>
      </c>
      <c r="J331" t="s">
        <v>370</v>
      </c>
      <c r="K331" t="s">
        <v>776</v>
      </c>
      <c r="L331">
        <v>3.1</v>
      </c>
      <c r="M331">
        <v>1.16</v>
      </c>
      <c r="N331">
        <v>0.3741935483870967</v>
      </c>
      <c r="O331">
        <v>30</v>
      </c>
      <c r="P331">
        <v>0.07039956279333892</v>
      </c>
      <c r="Q331">
        <v>0.112109809417894</v>
      </c>
      <c r="R331" t="s">
        <v>779</v>
      </c>
      <c r="S331" t="s">
        <v>790</v>
      </c>
      <c r="T331">
        <v>100.775186</v>
      </c>
      <c r="U331" s="2">
        <v>44424</v>
      </c>
      <c r="V331" t="s">
        <v>797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117.44</v>
      </c>
      <c r="D332">
        <v>154</v>
      </c>
      <c r="E332">
        <v>0.7625974025974026</v>
      </c>
      <c r="F332">
        <v>0.0170299727520436</v>
      </c>
      <c r="G332">
        <v>0.05570100660617827</v>
      </c>
      <c r="H332">
        <v>0.03</v>
      </c>
      <c r="I332">
        <v>0.1015663068207713</v>
      </c>
      <c r="J332" t="s">
        <v>370</v>
      </c>
      <c r="K332" t="s">
        <v>514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0.5609277638283281</v>
      </c>
      <c r="R332" t="s">
        <v>779</v>
      </c>
      <c r="S332" t="s">
        <v>790</v>
      </c>
      <c r="T332">
        <v>34234.178825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HYPERLINK("https://www.suredividend.com/sure-analysis-DHI/","D.R. Horton Inc.")</f>
        <v>0</v>
      </c>
      <c r="C333">
        <v>95.02</v>
      </c>
      <c r="D333">
        <v>106</v>
      </c>
      <c r="E333">
        <v>0.8964150943396226</v>
      </c>
      <c r="F333">
        <v>0.008419280151547043</v>
      </c>
      <c r="G333">
        <v>0.02211124859718461</v>
      </c>
      <c r="H333">
        <v>0.07000000000000001</v>
      </c>
      <c r="I333">
        <v>0.1014575392534915</v>
      </c>
      <c r="J333" t="s">
        <v>370</v>
      </c>
      <c r="K333" t="s">
        <v>514</v>
      </c>
      <c r="L333">
        <v>11.2</v>
      </c>
      <c r="M333">
        <v>0.8</v>
      </c>
      <c r="N333">
        <v>0.07142857142857144</v>
      </c>
      <c r="O333">
        <v>7</v>
      </c>
      <c r="P333">
        <v>0.100271705097241</v>
      </c>
      <c r="Q333">
        <v>0.511975490864889</v>
      </c>
      <c r="R333" t="s">
        <v>779</v>
      </c>
      <c r="S333" t="s">
        <v>788</v>
      </c>
      <c r="T333">
        <v>34930.100949</v>
      </c>
      <c r="U333" s="2">
        <v>44403</v>
      </c>
      <c r="V333" t="s">
        <v>801</v>
      </c>
    </row>
    <row r="334" spans="1:22">
      <c r="A334" s="1" t="s">
        <v>354</v>
      </c>
      <c r="B334">
        <f>HYPERLINK("https://www.suredividend.com/sure-analysis-CC/","Chemours Company")</f>
        <v>0</v>
      </c>
      <c r="C334">
        <v>31.3</v>
      </c>
      <c r="D334">
        <v>39</v>
      </c>
      <c r="E334">
        <v>0.8025641025641026</v>
      </c>
      <c r="F334">
        <v>0.03194888178913738</v>
      </c>
      <c r="G334">
        <v>0.04497055680822371</v>
      </c>
      <c r="H334">
        <v>0.03</v>
      </c>
      <c r="I334">
        <v>0.09913768508133192</v>
      </c>
      <c r="J334" t="s">
        <v>370</v>
      </c>
      <c r="K334" t="s">
        <v>370</v>
      </c>
      <c r="L334">
        <v>3.93</v>
      </c>
      <c r="M334">
        <v>1</v>
      </c>
      <c r="N334">
        <v>0.2544529262086514</v>
      </c>
      <c r="O334">
        <v>0</v>
      </c>
      <c r="P334">
        <v>0</v>
      </c>
      <c r="Q334">
        <v>0.47933984986364</v>
      </c>
      <c r="R334" t="s">
        <v>779</v>
      </c>
      <c r="S334" t="s">
        <v>787</v>
      </c>
      <c r="T334">
        <v>5144.673908</v>
      </c>
      <c r="U334" s="2">
        <v>44505</v>
      </c>
      <c r="V334" t="s">
        <v>795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49.49</v>
      </c>
      <c r="D335">
        <v>63</v>
      </c>
      <c r="E335">
        <v>0.7855555555555556</v>
      </c>
      <c r="F335">
        <v>0.01778136997373207</v>
      </c>
      <c r="G335">
        <v>0.04945692857159223</v>
      </c>
      <c r="H335">
        <v>0.03</v>
      </c>
      <c r="I335">
        <v>0.09609420712840566</v>
      </c>
      <c r="J335" t="s">
        <v>370</v>
      </c>
      <c r="K335" t="s">
        <v>514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0.6858753662530901</v>
      </c>
      <c r="R335" t="s">
        <v>779</v>
      </c>
      <c r="S335" t="s">
        <v>790</v>
      </c>
      <c r="T335">
        <v>26985.350018</v>
      </c>
      <c r="U335" s="2">
        <v>44500</v>
      </c>
      <c r="V335" t="s">
        <v>797</v>
      </c>
    </row>
    <row r="336" spans="1:22">
      <c r="A336" s="1" t="s">
        <v>356</v>
      </c>
      <c r="B336">
        <f>HYPERLINK("https://www.suredividend.com/sure-analysis-HPE/","Hewlett Packard Enterprise Co")</f>
        <v>0</v>
      </c>
      <c r="C336">
        <v>15.72</v>
      </c>
      <c r="D336">
        <v>16.49</v>
      </c>
      <c r="E336">
        <v>0.9533050333535478</v>
      </c>
      <c r="F336">
        <v>0.03053435114503817</v>
      </c>
      <c r="G336">
        <v>0.009609951786574644</v>
      </c>
      <c r="H336">
        <v>0.06</v>
      </c>
      <c r="I336">
        <v>0.09586461617158282</v>
      </c>
      <c r="J336" t="s">
        <v>370</v>
      </c>
      <c r="K336" t="s">
        <v>370</v>
      </c>
      <c r="L336">
        <v>1.94</v>
      </c>
      <c r="M336">
        <v>0.48</v>
      </c>
      <c r="N336">
        <v>0.2474226804123711</v>
      </c>
      <c r="O336">
        <v>4</v>
      </c>
      <c r="P336">
        <v>0.04910201101938982</v>
      </c>
      <c r="Q336">
        <v>0.6513020085701821</v>
      </c>
      <c r="R336" t="s">
        <v>779</v>
      </c>
      <c r="S336" t="s">
        <v>785</v>
      </c>
      <c r="T336">
        <v>20314.016717</v>
      </c>
      <c r="U336" s="2">
        <v>44443</v>
      </c>
      <c r="V336" t="s">
        <v>794</v>
      </c>
    </row>
    <row r="337" spans="1:22">
      <c r="A337" s="1" t="s">
        <v>357</v>
      </c>
      <c r="B337">
        <f>HYPERLINK("https://www.suredividend.com/sure-analysis-HPQ/","HP Inc")</f>
        <v>0</v>
      </c>
      <c r="C337">
        <v>31.52</v>
      </c>
      <c r="D337">
        <v>36</v>
      </c>
      <c r="E337">
        <v>0.8755555555555555</v>
      </c>
      <c r="F337">
        <v>0.03172588832487309</v>
      </c>
      <c r="G337">
        <v>0.02693571566003095</v>
      </c>
      <c r="H337">
        <v>0.04</v>
      </c>
      <c r="I337">
        <v>0.0957041804302754</v>
      </c>
      <c r="J337" t="s">
        <v>370</v>
      </c>
      <c r="K337" t="s">
        <v>370</v>
      </c>
      <c r="L337">
        <v>3.59</v>
      </c>
      <c r="M337">
        <v>1</v>
      </c>
      <c r="N337">
        <v>0.2785515320334262</v>
      </c>
      <c r="O337">
        <v>11</v>
      </c>
      <c r="P337">
        <v>0.0602809527753625</v>
      </c>
      <c r="Q337">
        <v>0.6444610081058411</v>
      </c>
      <c r="R337" t="s">
        <v>779</v>
      </c>
      <c r="S337" t="s">
        <v>785</v>
      </c>
      <c r="T337">
        <v>36615.520306</v>
      </c>
      <c r="U337" s="2">
        <v>44440</v>
      </c>
      <c r="V337" t="s">
        <v>797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58.18</v>
      </c>
      <c r="D338">
        <v>63</v>
      </c>
      <c r="E338">
        <v>0.9234920634920635</v>
      </c>
      <c r="F338">
        <v>0.06187693365417669</v>
      </c>
      <c r="G338">
        <v>0.01604599079763358</v>
      </c>
      <c r="H338">
        <v>0.03</v>
      </c>
      <c r="I338">
        <v>0.09495586605893935</v>
      </c>
      <c r="J338" t="s">
        <v>370</v>
      </c>
      <c r="K338" t="s">
        <v>776</v>
      </c>
      <c r="L338">
        <v>4.82</v>
      </c>
      <c r="M338">
        <v>3.6</v>
      </c>
      <c r="N338">
        <v>0.7468879668049793</v>
      </c>
      <c r="O338">
        <v>0</v>
      </c>
      <c r="P338">
        <v>0.009805797673485328</v>
      </c>
      <c r="Q338">
        <v>-0.05362669839757701</v>
      </c>
      <c r="R338" t="s">
        <v>781</v>
      </c>
      <c r="S338" t="s">
        <v>793</v>
      </c>
      <c r="T338">
        <v>2578.179182</v>
      </c>
      <c r="U338" s="2">
        <v>44418</v>
      </c>
      <c r="V338" t="s">
        <v>801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17.73</v>
      </c>
      <c r="D339">
        <v>19.6</v>
      </c>
      <c r="E339">
        <v>0.9045918367346938</v>
      </c>
      <c r="F339">
        <v>0.0530174844895657</v>
      </c>
      <c r="G339">
        <v>0.02025672747548057</v>
      </c>
      <c r="H339">
        <v>0.03</v>
      </c>
      <c r="I339">
        <v>0.09393675282852554</v>
      </c>
      <c r="J339" t="s">
        <v>370</v>
      </c>
      <c r="K339" t="s">
        <v>775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0.152875103050288</v>
      </c>
      <c r="R339" t="s">
        <v>779</v>
      </c>
      <c r="S339" t="s">
        <v>787</v>
      </c>
      <c r="T339">
        <v>65763.07449</v>
      </c>
      <c r="U339" s="2">
        <v>44497</v>
      </c>
      <c r="V339" t="s">
        <v>805</v>
      </c>
    </row>
    <row r="340" spans="1:22">
      <c r="A340" s="1" t="s">
        <v>360</v>
      </c>
      <c r="B340">
        <f>HYPERLINK("https://www.suredividend.com/sure-analysis-PFG/","Principal Financial Group Inc")</f>
        <v>0</v>
      </c>
      <c r="C340">
        <v>68.45999999999999</v>
      </c>
      <c r="D340">
        <v>72</v>
      </c>
      <c r="E340">
        <v>0.9508333333333332</v>
      </c>
      <c r="F340">
        <v>0.037394098743792</v>
      </c>
      <c r="G340">
        <v>0.01013430492174994</v>
      </c>
      <c r="H340">
        <v>0.05</v>
      </c>
      <c r="I340">
        <v>0.09383565644163383</v>
      </c>
      <c r="J340" t="s">
        <v>370</v>
      </c>
      <c r="K340" t="s">
        <v>776</v>
      </c>
      <c r="L340">
        <v>6.55</v>
      </c>
      <c r="M340">
        <v>2.56</v>
      </c>
      <c r="N340">
        <v>0.3908396946564885</v>
      </c>
      <c r="O340">
        <v>15</v>
      </c>
      <c r="P340">
        <v>0.06025622492066018</v>
      </c>
      <c r="Q340">
        <v>0.491843019065714</v>
      </c>
      <c r="R340" t="s">
        <v>779</v>
      </c>
      <c r="S340" t="s">
        <v>790</v>
      </c>
      <c r="T340">
        <v>18106.892217</v>
      </c>
      <c r="U340" s="2">
        <v>44505</v>
      </c>
      <c r="V340" t="s">
        <v>797</v>
      </c>
    </row>
    <row r="341" spans="1:22">
      <c r="A341" s="1" t="s">
        <v>361</v>
      </c>
      <c r="B341">
        <f>HYPERLINK("https://www.suredividend.com/sure-analysis-LNC/","Lincoln National Corp.")</f>
        <v>0</v>
      </c>
      <c r="C341">
        <v>72.03</v>
      </c>
      <c r="D341">
        <v>76</v>
      </c>
      <c r="E341">
        <v>0.9477631578947369</v>
      </c>
      <c r="F341">
        <v>0.02498958767180342</v>
      </c>
      <c r="G341">
        <v>0.01078790256034967</v>
      </c>
      <c r="H341">
        <v>0.06</v>
      </c>
      <c r="I341">
        <v>0.09379220372706887</v>
      </c>
      <c r="J341" t="s">
        <v>370</v>
      </c>
      <c r="K341" t="s">
        <v>370</v>
      </c>
      <c r="L341">
        <v>8.960000000000001</v>
      </c>
      <c r="M341">
        <v>1.8</v>
      </c>
      <c r="N341">
        <v>0.2008928571428571</v>
      </c>
      <c r="O341">
        <v>11</v>
      </c>
      <c r="P341">
        <v>0.06961037572506878</v>
      </c>
      <c r="Q341">
        <v>0.7413973139892971</v>
      </c>
      <c r="R341" t="s">
        <v>779</v>
      </c>
      <c r="S341" t="s">
        <v>790</v>
      </c>
      <c r="T341">
        <v>13048.974288</v>
      </c>
      <c r="U341" s="2">
        <v>44505</v>
      </c>
      <c r="V341" t="s">
        <v>801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52.97</v>
      </c>
      <c r="D342">
        <v>56</v>
      </c>
      <c r="E342">
        <v>0.9458928571428571</v>
      </c>
      <c r="F342">
        <v>0.03870115159524259</v>
      </c>
      <c r="G342">
        <v>0.0111873101519151</v>
      </c>
      <c r="H342">
        <v>0.05</v>
      </c>
      <c r="I342">
        <v>0.09332001941141677</v>
      </c>
      <c r="J342" t="s">
        <v>370</v>
      </c>
      <c r="K342" t="s">
        <v>776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-0.10341919851264</v>
      </c>
      <c r="R342" t="s">
        <v>779</v>
      </c>
      <c r="S342" t="s">
        <v>789</v>
      </c>
      <c r="T342">
        <v>136351.122671</v>
      </c>
      <c r="U342" s="2">
        <v>44400</v>
      </c>
      <c r="V342" t="s">
        <v>802</v>
      </c>
    </row>
    <row r="343" spans="1:22">
      <c r="A343" s="1" t="s">
        <v>363</v>
      </c>
      <c r="B343">
        <f>HYPERLINK("https://www.suredividend.com/sure-analysis-SMG/","Scotts Miracle-Gro Company")</f>
        <v>0</v>
      </c>
      <c r="C343">
        <v>167.45</v>
      </c>
      <c r="D343">
        <v>174</v>
      </c>
      <c r="E343">
        <v>0.9623563218390804</v>
      </c>
      <c r="F343">
        <v>0.01576590026873694</v>
      </c>
      <c r="G343">
        <v>0.007703621368568392</v>
      </c>
      <c r="H343">
        <v>0.07000000000000001</v>
      </c>
      <c r="I343">
        <v>0.09182839662305531</v>
      </c>
      <c r="J343" t="s">
        <v>370</v>
      </c>
      <c r="K343" t="s">
        <v>514</v>
      </c>
      <c r="L343">
        <v>8.699999999999999</v>
      </c>
      <c r="M343">
        <v>2.64</v>
      </c>
      <c r="N343">
        <v>0.303448275862069</v>
      </c>
      <c r="O343">
        <v>12</v>
      </c>
      <c r="P343">
        <v>0.05982499004041508</v>
      </c>
      <c r="Q343">
        <v>0.11148381889516</v>
      </c>
      <c r="R343" t="s">
        <v>779</v>
      </c>
      <c r="S343" t="s">
        <v>787</v>
      </c>
      <c r="T343">
        <v>9559.313507999999</v>
      </c>
      <c r="U343" s="2">
        <v>44503</v>
      </c>
      <c r="V343" t="s">
        <v>794</v>
      </c>
    </row>
    <row r="344" spans="1:22">
      <c r="A344" s="1" t="s">
        <v>364</v>
      </c>
      <c r="B344">
        <f>HYPERLINK("https://www.suredividend.com/sure-analysis-FAF/","First American Financial Corp")</f>
        <v>0</v>
      </c>
      <c r="C344">
        <v>75.2</v>
      </c>
      <c r="D344">
        <v>82</v>
      </c>
      <c r="E344">
        <v>0.9170731707317074</v>
      </c>
      <c r="F344">
        <v>0.02579787234042553</v>
      </c>
      <c r="G344">
        <v>0.01746435243776379</v>
      </c>
      <c r="H344">
        <v>0.05</v>
      </c>
      <c r="I344">
        <v>0.09040963436718896</v>
      </c>
      <c r="J344" t="s">
        <v>370</v>
      </c>
      <c r="K344" t="s">
        <v>370</v>
      </c>
      <c r="L344">
        <v>7.48</v>
      </c>
      <c r="M344">
        <v>1.94</v>
      </c>
      <c r="N344">
        <v>0.2593582887700535</v>
      </c>
      <c r="O344">
        <v>10</v>
      </c>
      <c r="P344">
        <v>0.05034020601589084</v>
      </c>
      <c r="Q344">
        <v>0.666998914656566</v>
      </c>
      <c r="R344" t="s">
        <v>779</v>
      </c>
      <c r="S344" t="s">
        <v>790</v>
      </c>
      <c r="T344">
        <v>8261.063366</v>
      </c>
      <c r="U344" s="2">
        <v>44494</v>
      </c>
      <c r="V344" t="s">
        <v>801</v>
      </c>
    </row>
    <row r="345" spans="1:22">
      <c r="A345" s="1" t="s">
        <v>365</v>
      </c>
      <c r="B345">
        <f>HYPERLINK("https://www.suredividend.com/sure-analysis-STN/","Stantec Inc")</f>
        <v>0</v>
      </c>
      <c r="C345">
        <v>55.97</v>
      </c>
      <c r="D345">
        <v>49</v>
      </c>
      <c r="E345">
        <v>1.142244897959184</v>
      </c>
      <c r="F345">
        <v>0.009469358584956226</v>
      </c>
      <c r="G345">
        <v>-0.0262484664996564</v>
      </c>
      <c r="H345">
        <v>0.11</v>
      </c>
      <c r="I345">
        <v>0.0890364650295794</v>
      </c>
      <c r="J345" t="s">
        <v>370</v>
      </c>
      <c r="K345" t="s">
        <v>777</v>
      </c>
      <c r="L345">
        <v>1.95</v>
      </c>
      <c r="M345">
        <v>0.53</v>
      </c>
      <c r="N345">
        <v>0.2717948717948718</v>
      </c>
      <c r="O345">
        <v>3</v>
      </c>
      <c r="P345">
        <v>0.06022122873100355</v>
      </c>
      <c r="Q345">
        <v>0.9032852688338761</v>
      </c>
      <c r="R345" t="s">
        <v>779</v>
      </c>
      <c r="S345" t="s">
        <v>786</v>
      </c>
      <c r="T345">
        <v>6140.399738</v>
      </c>
      <c r="U345" s="2">
        <v>44511</v>
      </c>
      <c r="V345" t="s">
        <v>794</v>
      </c>
    </row>
    <row r="346" spans="1:22">
      <c r="A346" s="1" t="s">
        <v>366</v>
      </c>
      <c r="B346">
        <f>HYPERLINK("https://www.suredividend.com/sure-analysis-POR/","Portland General Electric Co")</f>
        <v>0</v>
      </c>
      <c r="C346">
        <v>50.13</v>
      </c>
      <c r="D346">
        <v>52</v>
      </c>
      <c r="E346">
        <v>0.9640384615384616</v>
      </c>
      <c r="F346">
        <v>0.03431079194095352</v>
      </c>
      <c r="G346">
        <v>0.007351709556420838</v>
      </c>
      <c r="H346">
        <v>0.05</v>
      </c>
      <c r="I346">
        <v>0.08860617180064034</v>
      </c>
      <c r="J346" t="s">
        <v>370</v>
      </c>
      <c r="K346" t="s">
        <v>776</v>
      </c>
      <c r="L346">
        <v>2.78</v>
      </c>
      <c r="M346">
        <v>1.72</v>
      </c>
      <c r="N346">
        <v>0.6187050359712231</v>
      </c>
      <c r="O346">
        <v>14</v>
      </c>
      <c r="P346">
        <v>0.05983895403096029</v>
      </c>
      <c r="Q346">
        <v>0.199547615862631</v>
      </c>
      <c r="R346" t="s">
        <v>779</v>
      </c>
      <c r="S346" t="s">
        <v>791</v>
      </c>
      <c r="T346">
        <v>4409.682113</v>
      </c>
      <c r="U346" s="2">
        <v>44498</v>
      </c>
      <c r="V346" t="s">
        <v>801</v>
      </c>
    </row>
    <row r="347" spans="1:22">
      <c r="A347" s="1" t="s">
        <v>367</v>
      </c>
      <c r="B347">
        <f>HYPERLINK("https://www.suredividend.com/sure-analysis-MPLX/","MPLX LP")</f>
        <v>0</v>
      </c>
      <c r="C347">
        <v>30.75</v>
      </c>
      <c r="D347">
        <v>29</v>
      </c>
      <c r="E347">
        <v>1.060344827586207</v>
      </c>
      <c r="F347">
        <v>0.09170731707317073</v>
      </c>
      <c r="G347">
        <v>-0.011650434774093</v>
      </c>
      <c r="H347">
        <v>0.02</v>
      </c>
      <c r="I347">
        <v>0.08844882289378897</v>
      </c>
      <c r="J347" t="s">
        <v>370</v>
      </c>
      <c r="K347" t="s">
        <v>775</v>
      </c>
      <c r="L347">
        <v>4.1</v>
      </c>
      <c r="M347">
        <v>2.82</v>
      </c>
      <c r="N347">
        <v>0.6878048780487805</v>
      </c>
      <c r="O347">
        <v>9</v>
      </c>
      <c r="P347">
        <v>0.01977005769334617</v>
      </c>
      <c r="Q347">
        <v>0.8013955742934761</v>
      </c>
      <c r="R347" t="s">
        <v>780</v>
      </c>
      <c r="S347" t="s">
        <v>792</v>
      </c>
      <c r="T347">
        <v>32594.84187</v>
      </c>
      <c r="U347" s="2">
        <v>44509</v>
      </c>
      <c r="V347" t="s">
        <v>799</v>
      </c>
    </row>
    <row r="348" spans="1:22">
      <c r="A348" s="1" t="s">
        <v>368</v>
      </c>
      <c r="B348">
        <f>HYPERLINK("https://www.suredividend.com/sure-analysis-NAVI/","Navient Corp")</f>
        <v>0</v>
      </c>
      <c r="C348">
        <v>20.02</v>
      </c>
      <c r="D348">
        <v>26</v>
      </c>
      <c r="E348">
        <v>0.77</v>
      </c>
      <c r="F348">
        <v>0.03196803196803197</v>
      </c>
      <c r="G348">
        <v>0.05366330364357852</v>
      </c>
      <c r="H348">
        <v>0.01</v>
      </c>
      <c r="I348">
        <v>0.08803260206067898</v>
      </c>
      <c r="J348" t="s">
        <v>370</v>
      </c>
      <c r="K348" t="s">
        <v>370</v>
      </c>
      <c r="L348">
        <v>4.35</v>
      </c>
      <c r="M348">
        <v>0.64</v>
      </c>
      <c r="N348">
        <v>0.1471264367816092</v>
      </c>
      <c r="O348">
        <v>0</v>
      </c>
      <c r="P348">
        <v>0</v>
      </c>
      <c r="Q348">
        <v>1.098055384486916</v>
      </c>
      <c r="R348" t="s">
        <v>779</v>
      </c>
      <c r="S348" t="s">
        <v>790</v>
      </c>
      <c r="T348">
        <v>3239.564677</v>
      </c>
      <c r="U348" s="2">
        <v>44505</v>
      </c>
      <c r="V348" t="s">
        <v>797</v>
      </c>
    </row>
    <row r="349" spans="1:22">
      <c r="A349" s="1" t="s">
        <v>369</v>
      </c>
      <c r="B349">
        <f>HYPERLINK("https://www.suredividend.com/sure-analysis-TM/","Toyota Motor Corporation")</f>
        <v>0</v>
      </c>
      <c r="C349">
        <v>177.36</v>
      </c>
      <c r="D349">
        <v>209</v>
      </c>
      <c r="E349">
        <v>0.8486124401913876</v>
      </c>
      <c r="F349">
        <v>0.02762742444745151</v>
      </c>
      <c r="G349">
        <v>0.03337540584844723</v>
      </c>
      <c r="H349">
        <v>0.03</v>
      </c>
      <c r="I349">
        <v>0.08508113727220845</v>
      </c>
      <c r="J349" t="s">
        <v>370</v>
      </c>
      <c r="K349" t="s">
        <v>370</v>
      </c>
      <c r="L349">
        <v>23.25</v>
      </c>
      <c r="M349">
        <v>4.9</v>
      </c>
      <c r="N349">
        <v>0.210752688172043</v>
      </c>
      <c r="O349">
        <v>2</v>
      </c>
      <c r="P349">
        <v>0</v>
      </c>
      <c r="Q349">
        <v>0.282966423272684</v>
      </c>
      <c r="R349" t="s">
        <v>779</v>
      </c>
      <c r="S349" t="s">
        <v>788</v>
      </c>
      <c r="T349">
        <v>287665.858895</v>
      </c>
      <c r="U349" s="2">
        <v>44434</v>
      </c>
      <c r="V349" t="s">
        <v>797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68.20999999999999</v>
      </c>
      <c r="D350">
        <v>105</v>
      </c>
      <c r="E350">
        <v>0.6496190476190475</v>
      </c>
      <c r="F350">
        <v>0.0299076381762205</v>
      </c>
      <c r="G350">
        <v>0.09010479486554335</v>
      </c>
      <c r="H350">
        <v>-0.03</v>
      </c>
      <c r="I350">
        <v>0.0845603199245748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0.4707409298180331</v>
      </c>
      <c r="R350" t="s">
        <v>779</v>
      </c>
      <c r="S350" t="s">
        <v>790</v>
      </c>
      <c r="T350">
        <v>137801.124592</v>
      </c>
      <c r="U350" s="2">
        <v>44485</v>
      </c>
      <c r="V350" t="s">
        <v>798</v>
      </c>
    </row>
    <row r="351" spans="1:22">
      <c r="A351" s="1" t="s">
        <v>371</v>
      </c>
      <c r="B351">
        <f>HYPERLINK("https://www.suredividend.com/sure-analysis-PM/","Philip Morris International Inc")</f>
        <v>0</v>
      </c>
      <c r="C351">
        <v>94.38</v>
      </c>
      <c r="D351">
        <v>97</v>
      </c>
      <c r="E351">
        <v>0.9729896907216494</v>
      </c>
      <c r="F351">
        <v>0.05297732570459843</v>
      </c>
      <c r="G351">
        <v>0.00549138110255587</v>
      </c>
      <c r="H351">
        <v>0.03</v>
      </c>
      <c r="I351">
        <v>0.08174961665250779</v>
      </c>
      <c r="J351" t="s">
        <v>370</v>
      </c>
      <c r="K351" t="s">
        <v>776</v>
      </c>
      <c r="L351">
        <v>6.04</v>
      </c>
      <c r="M351">
        <v>5</v>
      </c>
      <c r="N351">
        <v>0.8278145695364238</v>
      </c>
      <c r="O351">
        <v>14</v>
      </c>
      <c r="P351">
        <v>0.03012896281839894</v>
      </c>
      <c r="Q351">
        <v>0.377538490046045</v>
      </c>
      <c r="R351" t="s">
        <v>779</v>
      </c>
      <c r="S351" t="s">
        <v>789</v>
      </c>
      <c r="T351">
        <v>145828.048786</v>
      </c>
      <c r="U351" s="2">
        <v>44488</v>
      </c>
      <c r="V351" t="s">
        <v>794</v>
      </c>
    </row>
    <row r="352" spans="1:22">
      <c r="A352" s="1" t="s">
        <v>372</v>
      </c>
      <c r="B352">
        <f>HYPERLINK("https://www.suredividend.com/sure-analysis-GPS/","Gap, Inc.")</f>
        <v>0</v>
      </c>
      <c r="C352">
        <v>24.73</v>
      </c>
      <c r="D352">
        <v>27.88</v>
      </c>
      <c r="E352">
        <v>0.8870157819225252</v>
      </c>
      <c r="F352">
        <v>0.01940962393853619</v>
      </c>
      <c r="G352">
        <v>0.02426829677848108</v>
      </c>
      <c r="H352">
        <v>0.04</v>
      </c>
      <c r="I352">
        <v>0.07990368041436113</v>
      </c>
      <c r="J352" t="s">
        <v>370</v>
      </c>
      <c r="K352" t="s">
        <v>514</v>
      </c>
      <c r="L352">
        <v>2.15</v>
      </c>
      <c r="M352">
        <v>0.48</v>
      </c>
      <c r="N352">
        <v>0.2232558139534884</v>
      </c>
      <c r="O352">
        <v>0</v>
      </c>
      <c r="P352">
        <v>0</v>
      </c>
      <c r="Q352">
        <v>0.120371875590391</v>
      </c>
      <c r="R352" t="s">
        <v>779</v>
      </c>
      <c r="S352" t="s">
        <v>788</v>
      </c>
      <c r="T352">
        <v>9590.679158000001</v>
      </c>
      <c r="U352" s="2">
        <v>44460</v>
      </c>
      <c r="V352" t="s">
        <v>796</v>
      </c>
    </row>
    <row r="353" spans="1:22">
      <c r="A353" s="1" t="s">
        <v>373</v>
      </c>
      <c r="B353">
        <f>HYPERLINK("https://www.suredividend.com/sure-analysis-PRU/","Prudential Financial Inc.")</f>
        <v>0</v>
      </c>
      <c r="C353">
        <v>109.58</v>
      </c>
      <c r="D353">
        <v>116</v>
      </c>
      <c r="E353">
        <v>0.944655172413793</v>
      </c>
      <c r="F353">
        <v>0.04197846322321591</v>
      </c>
      <c r="G353">
        <v>0.01145214238754333</v>
      </c>
      <c r="H353">
        <v>0.03</v>
      </c>
      <c r="I353">
        <v>0.07917798271460952</v>
      </c>
      <c r="J353" t="s">
        <v>370</v>
      </c>
      <c r="K353" t="s">
        <v>776</v>
      </c>
      <c r="L353">
        <v>14.5</v>
      </c>
      <c r="M353">
        <v>4.6</v>
      </c>
      <c r="N353">
        <v>0.3172413793103448</v>
      </c>
      <c r="O353">
        <v>13</v>
      </c>
      <c r="P353">
        <v>0.04012620718096094</v>
      </c>
      <c r="Q353">
        <v>0.5636101116127701</v>
      </c>
      <c r="R353" t="s">
        <v>779</v>
      </c>
      <c r="S353" t="s">
        <v>790</v>
      </c>
      <c r="T353">
        <v>41262.48</v>
      </c>
      <c r="U353" s="2">
        <v>44509</v>
      </c>
      <c r="V353" t="s">
        <v>799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168.96</v>
      </c>
      <c r="D354">
        <v>197</v>
      </c>
      <c r="E354">
        <v>0.8576649746192894</v>
      </c>
      <c r="F354">
        <v>0.01609848484848485</v>
      </c>
      <c r="G354">
        <v>0.03118471051216343</v>
      </c>
      <c r="H354">
        <v>0.03</v>
      </c>
      <c r="I354">
        <v>0.07859049222791836</v>
      </c>
      <c r="J354" t="s">
        <v>370</v>
      </c>
      <c r="K354" t="s">
        <v>514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0.395121793785652</v>
      </c>
      <c r="R354" t="s">
        <v>779</v>
      </c>
      <c r="S354" t="s">
        <v>786</v>
      </c>
      <c r="T354">
        <v>18824.858328</v>
      </c>
      <c r="U354" s="2">
        <v>44494</v>
      </c>
      <c r="V354" t="s">
        <v>801</v>
      </c>
    </row>
    <row r="355" spans="1:22">
      <c r="A355" s="1" t="s">
        <v>375</v>
      </c>
      <c r="B355">
        <f>HYPERLINK("https://www.suredividend.com/sure-analysis-CPB/","Campbell Soup Co.")</f>
        <v>0</v>
      </c>
      <c r="C355">
        <v>41.41</v>
      </c>
      <c r="D355">
        <v>46</v>
      </c>
      <c r="E355">
        <v>0.9002173913043477</v>
      </c>
      <c r="F355">
        <v>0.03574015938179184</v>
      </c>
      <c r="G355">
        <v>0.0212463567933745</v>
      </c>
      <c r="H355">
        <v>0.025</v>
      </c>
      <c r="I355">
        <v>0.07616277255268677</v>
      </c>
      <c r="J355" t="s">
        <v>370</v>
      </c>
      <c r="K355" t="s">
        <v>776</v>
      </c>
      <c r="L355">
        <v>2.8</v>
      </c>
      <c r="M355">
        <v>1.48</v>
      </c>
      <c r="N355">
        <v>0.5285714285714286</v>
      </c>
      <c r="O355">
        <v>0</v>
      </c>
      <c r="P355">
        <v>0.01444167341264735</v>
      </c>
      <c r="Q355">
        <v>-0.07578847914814901</v>
      </c>
      <c r="R355" t="s">
        <v>779</v>
      </c>
      <c r="S355" t="s">
        <v>789</v>
      </c>
      <c r="T355">
        <v>12471.036651</v>
      </c>
      <c r="U355" s="2">
        <v>44453</v>
      </c>
      <c r="V355" t="s">
        <v>801</v>
      </c>
    </row>
    <row r="356" spans="1:22">
      <c r="A356" s="1" t="s">
        <v>376</v>
      </c>
      <c r="B356">
        <f>HYPERLINK("https://www.suredividend.com/sure-analysis-IVZ/","Invesco Ltd")</f>
        <v>0</v>
      </c>
      <c r="C356">
        <v>25.53</v>
      </c>
      <c r="D356">
        <v>30</v>
      </c>
      <c r="E356">
        <v>0.8510000000000001</v>
      </c>
      <c r="F356">
        <v>0.02663533098315707</v>
      </c>
      <c r="G356">
        <v>0.03279490782464212</v>
      </c>
      <c r="H356">
        <v>0.02</v>
      </c>
      <c r="I356">
        <v>0.07579855326981932</v>
      </c>
      <c r="J356" t="s">
        <v>370</v>
      </c>
      <c r="K356" t="s">
        <v>370</v>
      </c>
      <c r="L356">
        <v>3</v>
      </c>
      <c r="M356">
        <v>0.68</v>
      </c>
      <c r="N356">
        <v>0.2266666666666667</v>
      </c>
      <c r="O356">
        <v>1</v>
      </c>
      <c r="P356">
        <v>0.02517111829582741</v>
      </c>
      <c r="Q356">
        <v>0.806137116430223</v>
      </c>
      <c r="R356" t="s">
        <v>779</v>
      </c>
      <c r="S356" t="s">
        <v>790</v>
      </c>
      <c r="T356">
        <v>11995.981507</v>
      </c>
      <c r="U356" s="2">
        <v>44505</v>
      </c>
      <c r="V356" t="s">
        <v>797</v>
      </c>
    </row>
    <row r="357" spans="1:22">
      <c r="A357" s="1" t="s">
        <v>377</v>
      </c>
      <c r="B357">
        <f>HYPERLINK("https://www.suredividend.com/sure-analysis-ALE/","Allete, Inc.")</f>
        <v>0</v>
      </c>
      <c r="C357">
        <v>65.38</v>
      </c>
      <c r="D357">
        <v>63</v>
      </c>
      <c r="E357">
        <v>1.037777777777778</v>
      </c>
      <c r="F357">
        <v>0.03854389721627409</v>
      </c>
      <c r="G357">
        <v>-0.007388901828340733</v>
      </c>
      <c r="H357">
        <v>0.05</v>
      </c>
      <c r="I357">
        <v>0.07573366536055115</v>
      </c>
      <c r="J357" t="s">
        <v>370</v>
      </c>
      <c r="K357" t="s">
        <v>776</v>
      </c>
      <c r="L357">
        <v>3.15</v>
      </c>
      <c r="M357">
        <v>2.52</v>
      </c>
      <c r="N357">
        <v>0.8</v>
      </c>
      <c r="O357">
        <v>10</v>
      </c>
      <c r="P357">
        <v>0.02990332946790675</v>
      </c>
      <c r="Q357">
        <v>0.152255834922961</v>
      </c>
      <c r="R357" t="s">
        <v>779</v>
      </c>
      <c r="S357" t="s">
        <v>791</v>
      </c>
      <c r="T357">
        <v>3372.523694</v>
      </c>
      <c r="U357" s="2">
        <v>44417</v>
      </c>
      <c r="V357" t="s">
        <v>801</v>
      </c>
    </row>
    <row r="358" spans="1:22">
      <c r="A358" s="1" t="s">
        <v>378</v>
      </c>
      <c r="B358">
        <f>HYPERLINK("https://www.suredividend.com/sure-analysis-RGA/","Reinsurance Group Of America, Inc.")</f>
        <v>0</v>
      </c>
      <c r="C358">
        <v>111.12</v>
      </c>
      <c r="D358">
        <v>105</v>
      </c>
      <c r="E358">
        <v>1.058285714285714</v>
      </c>
      <c r="F358">
        <v>0.02627789776817854</v>
      </c>
      <c r="G358">
        <v>-0.01126612614116129</v>
      </c>
      <c r="H358">
        <v>0.06</v>
      </c>
      <c r="I358">
        <v>0.07503666825743971</v>
      </c>
      <c r="J358" t="s">
        <v>370</v>
      </c>
      <c r="K358" t="s">
        <v>370</v>
      </c>
      <c r="L358">
        <v>9.15</v>
      </c>
      <c r="M358">
        <v>2.92</v>
      </c>
      <c r="N358">
        <v>0.3191256830601092</v>
      </c>
      <c r="O358">
        <v>12</v>
      </c>
      <c r="P358">
        <v>0.08986498009382693</v>
      </c>
      <c r="Q358">
        <v>-0.102808298074111</v>
      </c>
      <c r="R358" t="s">
        <v>779</v>
      </c>
      <c r="S358" t="s">
        <v>790</v>
      </c>
      <c r="T358">
        <v>7508.348772</v>
      </c>
      <c r="U358" s="2">
        <v>44413</v>
      </c>
      <c r="V358" t="s">
        <v>801</v>
      </c>
    </row>
    <row r="359" spans="1:22">
      <c r="A359" s="1" t="s">
        <v>379</v>
      </c>
      <c r="B359">
        <f>HYPERLINK("https://www.suredividend.com/sure-analysis-HUN/","Huntsman Corp")</f>
        <v>0</v>
      </c>
      <c r="C359">
        <v>33.17</v>
      </c>
      <c r="D359">
        <v>33</v>
      </c>
      <c r="E359">
        <v>1.005151515151515</v>
      </c>
      <c r="F359">
        <v>0.02261079288513717</v>
      </c>
      <c r="G359">
        <v>-0.001027130438542301</v>
      </c>
      <c r="H359">
        <v>0.05</v>
      </c>
      <c r="I359">
        <v>0.07030307110966327</v>
      </c>
      <c r="J359" t="s">
        <v>370</v>
      </c>
      <c r="K359" t="s">
        <v>514</v>
      </c>
      <c r="L359">
        <v>3.47</v>
      </c>
      <c r="M359">
        <v>0.75</v>
      </c>
      <c r="N359">
        <v>0.2161383285302594</v>
      </c>
      <c r="O359">
        <v>1</v>
      </c>
      <c r="P359">
        <v>0.05922384104881218</v>
      </c>
      <c r="Q359">
        <v>0.410921421497037</v>
      </c>
      <c r="R359" t="s">
        <v>779</v>
      </c>
      <c r="S359" t="s">
        <v>787</v>
      </c>
      <c r="T359">
        <v>7330.193949</v>
      </c>
      <c r="U359" s="2">
        <v>44503</v>
      </c>
      <c r="V359" t="s">
        <v>794</v>
      </c>
    </row>
    <row r="360" spans="1:22">
      <c r="A360" s="1" t="s">
        <v>380</v>
      </c>
      <c r="B360">
        <f>HYPERLINK("https://www.suredividend.com/sure-analysis-ITUB/","Itau Unibanco Holding S.A.")</f>
        <v>0</v>
      </c>
      <c r="C360">
        <v>4.16</v>
      </c>
      <c r="D360">
        <v>5</v>
      </c>
      <c r="E360">
        <v>0.8320000000000001</v>
      </c>
      <c r="F360">
        <v>0.02163461538461538</v>
      </c>
      <c r="G360">
        <v>0.03746949225212437</v>
      </c>
      <c r="H360">
        <v>0.015</v>
      </c>
      <c r="I360">
        <v>0.07006618836451484</v>
      </c>
      <c r="J360" t="s">
        <v>370</v>
      </c>
      <c r="K360" t="s">
        <v>514</v>
      </c>
      <c r="L360">
        <v>0.5</v>
      </c>
      <c r="M360">
        <v>0.09</v>
      </c>
      <c r="N360">
        <v>0.18</v>
      </c>
      <c r="O360">
        <v>0</v>
      </c>
      <c r="P360">
        <v>0</v>
      </c>
      <c r="Q360">
        <v>-0.027844455112818</v>
      </c>
      <c r="R360" t="s">
        <v>779</v>
      </c>
      <c r="S360" t="s">
        <v>790</v>
      </c>
      <c r="T360">
        <v>19625.672205</v>
      </c>
      <c r="U360" s="2">
        <v>44425</v>
      </c>
      <c r="V360" t="s">
        <v>796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49.07</v>
      </c>
      <c r="D361">
        <v>47</v>
      </c>
      <c r="E361">
        <v>1.044042553191489</v>
      </c>
      <c r="F361">
        <v>0.03260648053800693</v>
      </c>
      <c r="G361">
        <v>-0.008583003572965486</v>
      </c>
      <c r="H361">
        <v>0.05</v>
      </c>
      <c r="I361">
        <v>0.06968111696616419</v>
      </c>
      <c r="J361" t="s">
        <v>370</v>
      </c>
      <c r="K361" t="s">
        <v>776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0.155180142981855</v>
      </c>
      <c r="R361" t="s">
        <v>779</v>
      </c>
      <c r="S361" t="s">
        <v>783</v>
      </c>
      <c r="T361">
        <v>19279.072567</v>
      </c>
      <c r="U361" s="2">
        <v>44496</v>
      </c>
      <c r="V361" t="s">
        <v>802</v>
      </c>
    </row>
    <row r="362" spans="1:22">
      <c r="A362" s="1" t="s">
        <v>382</v>
      </c>
      <c r="B362">
        <f>HYPERLINK("https://www.suredividend.com/sure-analysis-AEP/","American Electric Power Company Inc.")</f>
        <v>0</v>
      </c>
      <c r="C362">
        <v>84.18000000000001</v>
      </c>
      <c r="D362">
        <v>79.59999999999999</v>
      </c>
      <c r="E362">
        <v>1.057537688442211</v>
      </c>
      <c r="F362">
        <v>0.03706343549536707</v>
      </c>
      <c r="G362">
        <v>-0.01112629390040087</v>
      </c>
      <c r="H362">
        <v>0.049</v>
      </c>
      <c r="I362">
        <v>0.06914918893913047</v>
      </c>
      <c r="J362" t="s">
        <v>370</v>
      </c>
      <c r="K362" t="s">
        <v>776</v>
      </c>
      <c r="L362">
        <v>4.68</v>
      </c>
      <c r="M362">
        <v>3.12</v>
      </c>
      <c r="N362">
        <v>0.6666666666666667</v>
      </c>
      <c r="O362">
        <v>16</v>
      </c>
      <c r="P362">
        <v>0.01853111887485781</v>
      </c>
      <c r="Q362">
        <v>-0.04696213441919601</v>
      </c>
      <c r="R362" t="s">
        <v>779</v>
      </c>
      <c r="S362" t="s">
        <v>791</v>
      </c>
      <c r="T362">
        <v>41823.235258</v>
      </c>
      <c r="U362" s="2">
        <v>44503</v>
      </c>
      <c r="V362" t="s">
        <v>803</v>
      </c>
    </row>
    <row r="363" spans="1:22">
      <c r="A363" s="1" t="s">
        <v>383</v>
      </c>
      <c r="B363">
        <f>HYPERLINK("https://www.suredividend.com/sure-analysis-ROST/","Ross Stores, Inc.")</f>
        <v>0</v>
      </c>
      <c r="C363">
        <v>118.67</v>
      </c>
      <c r="D363">
        <v>85</v>
      </c>
      <c r="E363">
        <v>1.396117647058823</v>
      </c>
      <c r="F363">
        <v>0.009606471728322238</v>
      </c>
      <c r="G363">
        <v>-0.06456073234378323</v>
      </c>
      <c r="H363">
        <v>0.13</v>
      </c>
      <c r="I363">
        <v>0.06867588853451978</v>
      </c>
      <c r="J363" t="s">
        <v>370</v>
      </c>
      <c r="K363" t="s">
        <v>777</v>
      </c>
      <c r="L363">
        <v>4.5</v>
      </c>
      <c r="M363">
        <v>1.14</v>
      </c>
      <c r="N363">
        <v>0.2533333333333333</v>
      </c>
      <c r="O363">
        <v>0</v>
      </c>
      <c r="P363">
        <v>0.1486983549970351</v>
      </c>
      <c r="Q363">
        <v>0.114138735353984</v>
      </c>
      <c r="R363" t="s">
        <v>779</v>
      </c>
      <c r="S363" t="s">
        <v>788</v>
      </c>
      <c r="T363">
        <v>42384.498168</v>
      </c>
      <c r="U363" s="2">
        <v>44431</v>
      </c>
      <c r="V363" t="s">
        <v>802</v>
      </c>
    </row>
    <row r="364" spans="1:22">
      <c r="A364" s="1" t="s">
        <v>384</v>
      </c>
      <c r="B364">
        <f>HYPERLINK("https://www.suredividend.com/sure-analysis-FLO/","Flowers Foods, Inc.")</f>
        <v>0</v>
      </c>
      <c r="C364">
        <v>25.49</v>
      </c>
      <c r="D364">
        <v>24</v>
      </c>
      <c r="E364">
        <v>1.062083333333333</v>
      </c>
      <c r="F364">
        <v>0.03295409964692037</v>
      </c>
      <c r="G364">
        <v>-0.0119742092806473</v>
      </c>
      <c r="H364">
        <v>0.05</v>
      </c>
      <c r="I364">
        <v>0.06865347715074344</v>
      </c>
      <c r="J364" t="s">
        <v>370</v>
      </c>
      <c r="K364" t="s">
        <v>776</v>
      </c>
      <c r="L364">
        <v>1.2</v>
      </c>
      <c r="M364">
        <v>0.84</v>
      </c>
      <c r="N364">
        <v>0.7</v>
      </c>
      <c r="O364">
        <v>19</v>
      </c>
      <c r="P364">
        <v>0.05154749679728043</v>
      </c>
      <c r="Q364">
        <v>0.180459509591233</v>
      </c>
      <c r="R364" t="s">
        <v>779</v>
      </c>
      <c r="S364" t="s">
        <v>789</v>
      </c>
      <c r="T364">
        <v>5403.965959</v>
      </c>
      <c r="U364" s="2">
        <v>44422</v>
      </c>
      <c r="V364" t="s">
        <v>799</v>
      </c>
    </row>
    <row r="365" spans="1:22">
      <c r="A365" s="1" t="s">
        <v>385</v>
      </c>
      <c r="B365">
        <f>HYPERLINK("https://www.suredividend.com/sure-analysis-KSS/","Kohl`s Corp.")</f>
        <v>0</v>
      </c>
      <c r="C365">
        <v>58.25</v>
      </c>
      <c r="D365">
        <v>74</v>
      </c>
      <c r="E365">
        <v>0.7871621621621622</v>
      </c>
      <c r="F365">
        <v>0.01716738197424893</v>
      </c>
      <c r="G365">
        <v>0.04902818778236151</v>
      </c>
      <c r="H365">
        <v>0</v>
      </c>
      <c r="I365">
        <v>0.06641133797969023</v>
      </c>
      <c r="J365" t="s">
        <v>370</v>
      </c>
      <c r="K365" t="s">
        <v>514</v>
      </c>
      <c r="L365">
        <v>6.15</v>
      </c>
      <c r="M365">
        <v>1</v>
      </c>
      <c r="N365">
        <v>0.1626016260162602</v>
      </c>
      <c r="O365">
        <v>0</v>
      </c>
      <c r="P365">
        <v>0.08009875865888949</v>
      </c>
      <c r="Q365">
        <v>1.324837035013076</v>
      </c>
      <c r="R365" t="s">
        <v>779</v>
      </c>
      <c r="S365" t="s">
        <v>788</v>
      </c>
      <c r="T365">
        <v>8965.818203000001</v>
      </c>
      <c r="U365" s="2">
        <v>44436</v>
      </c>
      <c r="V365" t="s">
        <v>798</v>
      </c>
    </row>
    <row r="366" spans="1:22">
      <c r="A366" s="1" t="s">
        <v>386</v>
      </c>
      <c r="B366">
        <f>HYPERLINK("https://www.suredividend.com/sure-analysis-NLSN/","Nielsen Holdings plc")</f>
        <v>0</v>
      </c>
      <c r="C366">
        <v>21.17</v>
      </c>
      <c r="D366">
        <v>24</v>
      </c>
      <c r="E366">
        <v>0.8820833333333334</v>
      </c>
      <c r="F366">
        <v>0.01133679735474728</v>
      </c>
      <c r="G366">
        <v>0.02541124733874356</v>
      </c>
      <c r="H366">
        <v>0.03</v>
      </c>
      <c r="I366">
        <v>0.06640985420001266</v>
      </c>
      <c r="J366" t="s">
        <v>370</v>
      </c>
      <c r="K366" t="s">
        <v>777</v>
      </c>
      <c r="L366">
        <v>1.68</v>
      </c>
      <c r="M366">
        <v>0.24</v>
      </c>
      <c r="N366">
        <v>0.1428571428571428</v>
      </c>
      <c r="O366">
        <v>0</v>
      </c>
      <c r="P366">
        <v>0.04563955259127317</v>
      </c>
      <c r="Q366">
        <v>0.363160412115257</v>
      </c>
      <c r="R366" t="s">
        <v>779</v>
      </c>
      <c r="S366" t="s">
        <v>786</v>
      </c>
      <c r="T366">
        <v>7569.779752</v>
      </c>
      <c r="U366" s="2">
        <v>44504</v>
      </c>
      <c r="V366" t="s">
        <v>797</v>
      </c>
    </row>
    <row r="367" spans="1:22">
      <c r="A367" s="1" t="s">
        <v>387</v>
      </c>
      <c r="B367">
        <f>HYPERLINK("https://www.suredividend.com/sure-analysis-VIAC/","ViacomCBS Inc")</f>
        <v>0</v>
      </c>
      <c r="C367">
        <v>35.39</v>
      </c>
      <c r="D367">
        <v>39</v>
      </c>
      <c r="E367">
        <v>0.9074358974358975</v>
      </c>
      <c r="F367">
        <v>0.02712630686634642</v>
      </c>
      <c r="G367">
        <v>0.01961639207235621</v>
      </c>
      <c r="H367">
        <v>0.02</v>
      </c>
      <c r="I367">
        <v>0.06568023357447883</v>
      </c>
      <c r="J367" t="s">
        <v>370</v>
      </c>
      <c r="K367" t="s">
        <v>514</v>
      </c>
      <c r="L367">
        <v>3.93</v>
      </c>
      <c r="M367">
        <v>0.96</v>
      </c>
      <c r="N367">
        <v>0.2442748091603053</v>
      </c>
      <c r="O367">
        <v>1</v>
      </c>
      <c r="P367">
        <v>0.05081623913789235</v>
      </c>
      <c r="Q367">
        <v>0.248211190301223</v>
      </c>
      <c r="R367" t="s">
        <v>779</v>
      </c>
      <c r="S367" t="s">
        <v>783</v>
      </c>
      <c r="T367">
        <v>23078.040048</v>
      </c>
      <c r="U367" s="2">
        <v>44443</v>
      </c>
      <c r="V367" t="s">
        <v>796</v>
      </c>
    </row>
    <row r="368" spans="1:22">
      <c r="A368" s="1" t="s">
        <v>388</v>
      </c>
      <c r="B368">
        <f>HYPERLINK("https://www.suredividend.com/sure-analysis-GEO/","Geo Group, Inc.")</f>
        <v>0</v>
      </c>
      <c r="C368">
        <v>9.16</v>
      </c>
      <c r="D368">
        <v>11.61</v>
      </c>
      <c r="E368">
        <v>0.7889750215331611</v>
      </c>
      <c r="F368">
        <v>0.02729257641921397</v>
      </c>
      <c r="G368">
        <v>0.04854566531349458</v>
      </c>
      <c r="H368">
        <v>-0.05</v>
      </c>
      <c r="I368">
        <v>0.06470639570719738</v>
      </c>
      <c r="J368" t="s">
        <v>370</v>
      </c>
      <c r="K368" t="s">
        <v>370</v>
      </c>
      <c r="L368">
        <v>2.58</v>
      </c>
      <c r="M368">
        <v>0.25</v>
      </c>
      <c r="N368">
        <v>0.09689922480620154</v>
      </c>
      <c r="O368">
        <v>0</v>
      </c>
      <c r="P368">
        <v>0.3707841442227291</v>
      </c>
      <c r="Q368">
        <v>0.146226646398274</v>
      </c>
      <c r="R368" t="s">
        <v>781</v>
      </c>
      <c r="S368" t="s">
        <v>793</v>
      </c>
      <c r="T368">
        <v>1145.701511</v>
      </c>
      <c r="U368" s="2">
        <v>44508</v>
      </c>
      <c r="V368" t="s">
        <v>794</v>
      </c>
    </row>
    <row r="369" spans="1:22">
      <c r="A369" s="1" t="s">
        <v>389</v>
      </c>
      <c r="B369">
        <f>HYPERLINK("https://www.suredividend.com/sure-analysis-SAXPY/","Sampo Plc")</f>
        <v>0</v>
      </c>
      <c r="C369">
        <v>25.57</v>
      </c>
      <c r="D369">
        <v>26</v>
      </c>
      <c r="E369">
        <v>0.9834615384615385</v>
      </c>
      <c r="F369">
        <v>0.040281579976535</v>
      </c>
      <c r="G369">
        <v>0.003340918211842236</v>
      </c>
      <c r="H369">
        <v>0.025</v>
      </c>
      <c r="I369">
        <v>0.06467368702811616</v>
      </c>
      <c r="J369" t="s">
        <v>370</v>
      </c>
      <c r="K369" t="s">
        <v>776</v>
      </c>
      <c r="L369">
        <v>23.99</v>
      </c>
      <c r="M369">
        <v>1.03</v>
      </c>
      <c r="N369">
        <v>0.0429345560650271</v>
      </c>
      <c r="O369">
        <v>0</v>
      </c>
      <c r="P369">
        <v>0.02581661126327583</v>
      </c>
      <c r="Q369">
        <v>0.203435468895079</v>
      </c>
      <c r="R369" t="s">
        <v>779</v>
      </c>
      <c r="S369" t="s">
        <v>790</v>
      </c>
      <c r="T369">
        <v>28729.448511</v>
      </c>
      <c r="U369" s="2">
        <v>44507</v>
      </c>
      <c r="V369" t="s">
        <v>795</v>
      </c>
    </row>
    <row r="370" spans="1:22">
      <c r="A370" s="1" t="s">
        <v>390</v>
      </c>
      <c r="B370">
        <f>HYPERLINK("https://www.suredividend.com/sure-analysis-OKE/","Oneok Inc.")</f>
        <v>0</v>
      </c>
      <c r="C370">
        <v>62.86</v>
      </c>
      <c r="D370">
        <v>57</v>
      </c>
      <c r="E370">
        <v>1.10280701754386</v>
      </c>
      <c r="F370">
        <v>0.05949729557747375</v>
      </c>
      <c r="G370">
        <v>-0.01938146936980922</v>
      </c>
      <c r="H370">
        <v>0.03</v>
      </c>
      <c r="I370">
        <v>0.06452844836884952</v>
      </c>
      <c r="J370" t="s">
        <v>370</v>
      </c>
      <c r="K370" t="s">
        <v>775</v>
      </c>
      <c r="L370">
        <v>5.15</v>
      </c>
      <c r="M370">
        <v>3.74</v>
      </c>
      <c r="N370">
        <v>0.7262135922330097</v>
      </c>
      <c r="O370">
        <v>18</v>
      </c>
      <c r="P370">
        <v>0.02003644710053942</v>
      </c>
      <c r="Q370">
        <v>1.218730379829349</v>
      </c>
      <c r="R370" t="s">
        <v>779</v>
      </c>
      <c r="S370" t="s">
        <v>792</v>
      </c>
      <c r="T370">
        <v>28838.726583</v>
      </c>
      <c r="U370" s="2">
        <v>44506</v>
      </c>
      <c r="V370" t="s">
        <v>797</v>
      </c>
    </row>
    <row r="371" spans="1:22">
      <c r="A371" s="1" t="s">
        <v>391</v>
      </c>
      <c r="B371">
        <f>HYPERLINK("https://www.suredividend.com/sure-analysis-KLAC/","KLA Corp.")</f>
        <v>0</v>
      </c>
      <c r="C371">
        <v>404.35</v>
      </c>
      <c r="D371">
        <v>357</v>
      </c>
      <c r="E371">
        <v>1.132633053221288</v>
      </c>
      <c r="F371">
        <v>0.01038704092988747</v>
      </c>
      <c r="G371">
        <v>-0.02460134199951258</v>
      </c>
      <c r="H371">
        <v>0.08</v>
      </c>
      <c r="I371">
        <v>0.06451901279148164</v>
      </c>
      <c r="J371" t="s">
        <v>370</v>
      </c>
      <c r="K371" t="s">
        <v>514</v>
      </c>
      <c r="L371">
        <v>21</v>
      </c>
      <c r="M371">
        <v>4.2</v>
      </c>
      <c r="N371">
        <v>0.2</v>
      </c>
      <c r="O371">
        <v>12</v>
      </c>
      <c r="P371">
        <v>0.09986525071768737</v>
      </c>
      <c r="Q371">
        <v>0.8186003783609621</v>
      </c>
      <c r="R371" t="s">
        <v>779</v>
      </c>
      <c r="S371" t="s">
        <v>785</v>
      </c>
      <c r="T371">
        <v>63243.121243</v>
      </c>
      <c r="U371" s="2">
        <v>44508</v>
      </c>
      <c r="V371" t="s">
        <v>797</v>
      </c>
    </row>
    <row r="372" spans="1:22">
      <c r="A372" s="1" t="s">
        <v>392</v>
      </c>
      <c r="B372">
        <f>HYPERLINK("https://www.suredividend.com/sure-analysis-SVC/","Service Properties Trust")</f>
        <v>0</v>
      </c>
      <c r="C372">
        <v>11.49</v>
      </c>
      <c r="D372">
        <v>14</v>
      </c>
      <c r="E372">
        <v>0.8207142857142857</v>
      </c>
      <c r="F372">
        <v>0.003481288076588338</v>
      </c>
      <c r="G372">
        <v>0.04030719313365982</v>
      </c>
      <c r="H372">
        <v>0.02</v>
      </c>
      <c r="I372">
        <v>0.06384518592910293</v>
      </c>
      <c r="J372" t="s">
        <v>370</v>
      </c>
      <c r="K372" t="s">
        <v>777</v>
      </c>
      <c r="L372">
        <v>0.3</v>
      </c>
      <c r="M372">
        <v>0.04</v>
      </c>
      <c r="N372">
        <v>0.1333333333333333</v>
      </c>
      <c r="O372">
        <v>0</v>
      </c>
      <c r="P372">
        <v>0</v>
      </c>
      <c r="Q372">
        <v>0.129541256157635</v>
      </c>
      <c r="R372" t="s">
        <v>781</v>
      </c>
      <c r="S372" t="s">
        <v>793</v>
      </c>
      <c r="T372">
        <v>1938.183989</v>
      </c>
      <c r="U372" s="2">
        <v>44435</v>
      </c>
      <c r="V372" t="s">
        <v>797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63.53</v>
      </c>
      <c r="D373">
        <v>65</v>
      </c>
      <c r="E373">
        <v>0.9773846153846154</v>
      </c>
      <c r="F373">
        <v>0.03305524948843067</v>
      </c>
      <c r="G373">
        <v>0.004585488245558489</v>
      </c>
      <c r="H373">
        <v>0.03</v>
      </c>
      <c r="I373">
        <v>0.06353734760529051</v>
      </c>
      <c r="J373" t="s">
        <v>370</v>
      </c>
      <c r="K373" t="s">
        <v>776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0.110126987139608</v>
      </c>
      <c r="R373" t="s">
        <v>779</v>
      </c>
      <c r="S373" t="s">
        <v>789</v>
      </c>
      <c r="T373">
        <v>38261.592193</v>
      </c>
      <c r="U373" s="2">
        <v>44461</v>
      </c>
      <c r="V373" t="s">
        <v>802</v>
      </c>
    </row>
    <row r="374" spans="1:22">
      <c r="A374" s="1" t="s">
        <v>394</v>
      </c>
      <c r="B374">
        <f>HYPERLINK("https://www.suredividend.com/sure-analysis-UHT/","Universal Health Realty Income Trust")</f>
        <v>0</v>
      </c>
      <c r="C374">
        <v>60.18</v>
      </c>
      <c r="D374">
        <v>58</v>
      </c>
      <c r="E374">
        <v>1.037586206896552</v>
      </c>
      <c r="F374">
        <v>0.04652708541043536</v>
      </c>
      <c r="G374">
        <v>-0.00735225112122273</v>
      </c>
      <c r="H374">
        <v>0.03</v>
      </c>
      <c r="I374">
        <v>0.06277960514564351</v>
      </c>
      <c r="J374" t="s">
        <v>370</v>
      </c>
      <c r="K374" t="s">
        <v>775</v>
      </c>
      <c r="L374">
        <v>3.35</v>
      </c>
      <c r="M374">
        <v>2.8</v>
      </c>
      <c r="N374">
        <v>0.835820895522388</v>
      </c>
      <c r="O374">
        <v>36</v>
      </c>
      <c r="P374">
        <v>0.008428158438618549</v>
      </c>
      <c r="Q374">
        <v>0.07102522161154701</v>
      </c>
      <c r="R374" t="s">
        <v>781</v>
      </c>
      <c r="S374" t="s">
        <v>793</v>
      </c>
      <c r="T374">
        <v>822.240176</v>
      </c>
      <c r="U374" s="2">
        <v>44411</v>
      </c>
      <c r="V374" t="s">
        <v>803</v>
      </c>
    </row>
    <row r="375" spans="1:22">
      <c r="A375" s="1" t="s">
        <v>395</v>
      </c>
      <c r="B375">
        <f>HYPERLINK("https://www.suredividend.com/sure-analysis-PKX/","Posco")</f>
        <v>0</v>
      </c>
      <c r="C375">
        <v>57.88</v>
      </c>
      <c r="D375">
        <v>90</v>
      </c>
      <c r="E375">
        <v>0.6431111111111112</v>
      </c>
      <c r="F375">
        <v>0.03023496890117484</v>
      </c>
      <c r="G375">
        <v>0.09230217241868544</v>
      </c>
      <c r="H375">
        <v>-0.05</v>
      </c>
      <c r="I375">
        <v>0.06254356021464669</v>
      </c>
      <c r="J375" t="s">
        <v>370</v>
      </c>
      <c r="K375" t="s">
        <v>370</v>
      </c>
      <c r="L375">
        <v>9</v>
      </c>
      <c r="M375">
        <v>1.75</v>
      </c>
      <c r="N375">
        <v>0.1944444444444444</v>
      </c>
      <c r="O375">
        <v>0</v>
      </c>
      <c r="P375">
        <v>0</v>
      </c>
      <c r="Q375">
        <v>0.186973444351382</v>
      </c>
      <c r="R375" t="s">
        <v>779</v>
      </c>
      <c r="S375" t="s">
        <v>787</v>
      </c>
      <c r="T375">
        <v>21005.052288</v>
      </c>
      <c r="U375" s="2">
        <v>44509</v>
      </c>
      <c r="V375" t="s">
        <v>794</v>
      </c>
    </row>
    <row r="376" spans="1:22">
      <c r="A376" s="1" t="s">
        <v>396</v>
      </c>
      <c r="B376">
        <f>HYPERLINK("https://www.suredividend.com/sure-analysis-GLOP/","Gaslog Partners LP")</f>
        <v>0</v>
      </c>
      <c r="C376">
        <v>5.15</v>
      </c>
      <c r="D376">
        <v>5.25</v>
      </c>
      <c r="E376">
        <v>0.980952380952381</v>
      </c>
      <c r="F376">
        <v>0.007766990291262136</v>
      </c>
      <c r="G376">
        <v>0.003853678783840131</v>
      </c>
      <c r="H376">
        <v>0.05</v>
      </c>
      <c r="I376">
        <v>0.06200362047541308</v>
      </c>
      <c r="J376" t="s">
        <v>370</v>
      </c>
      <c r="K376" t="s">
        <v>514</v>
      </c>
      <c r="L376">
        <v>1.25</v>
      </c>
      <c r="M376">
        <v>0.04</v>
      </c>
      <c r="N376">
        <v>0.032</v>
      </c>
      <c r="O376">
        <v>0</v>
      </c>
      <c r="P376">
        <v>0.08447177119769855</v>
      </c>
      <c r="Q376">
        <v>0.5689050104691971</v>
      </c>
      <c r="R376" t="s">
        <v>779</v>
      </c>
      <c r="S376" t="s">
        <v>792</v>
      </c>
      <c r="T376">
        <v>252.794824</v>
      </c>
      <c r="U376" s="2">
        <v>44498</v>
      </c>
      <c r="V376" t="s">
        <v>794</v>
      </c>
    </row>
    <row r="377" spans="1:22">
      <c r="A377" s="1" t="s">
        <v>397</v>
      </c>
      <c r="B377">
        <f>HYPERLINK("https://www.suredividend.com/sure-analysis-WFC/","Wells Fargo &amp; Co.")</f>
        <v>0</v>
      </c>
      <c r="C377">
        <v>50.36</v>
      </c>
      <c r="D377">
        <v>50</v>
      </c>
      <c r="E377">
        <v>1.0072</v>
      </c>
      <c r="F377">
        <v>0.0158856235107228</v>
      </c>
      <c r="G377">
        <v>-0.001433811857769141</v>
      </c>
      <c r="H377">
        <v>0.04</v>
      </c>
      <c r="I377">
        <v>0.05888060899794478</v>
      </c>
      <c r="J377" t="s">
        <v>370</v>
      </c>
      <c r="K377" t="s">
        <v>514</v>
      </c>
      <c r="L377">
        <v>4.35</v>
      </c>
      <c r="M377">
        <v>0.8</v>
      </c>
      <c r="N377">
        <v>0.1839080459770115</v>
      </c>
      <c r="O377">
        <v>0</v>
      </c>
      <c r="P377">
        <v>0.1501306516611158</v>
      </c>
      <c r="Q377">
        <v>1.087936922458819</v>
      </c>
      <c r="R377" t="s">
        <v>779</v>
      </c>
      <c r="S377" t="s">
        <v>790</v>
      </c>
      <c r="T377">
        <v>204868.820494</v>
      </c>
      <c r="U377" s="2">
        <v>44485</v>
      </c>
      <c r="V377" t="s">
        <v>798</v>
      </c>
    </row>
    <row r="378" spans="1:22">
      <c r="A378" s="1" t="s">
        <v>398</v>
      </c>
      <c r="B378">
        <f>HYPERLINK("https://www.suredividend.com/sure-analysis-CFG/","Citizens Financial Group Inc")</f>
        <v>0</v>
      </c>
      <c r="C378">
        <v>48.02</v>
      </c>
      <c r="D378">
        <v>59</v>
      </c>
      <c r="E378">
        <v>0.8138983050847458</v>
      </c>
      <c r="F378">
        <v>0.03248646397334444</v>
      </c>
      <c r="G378">
        <v>0.04204379335783548</v>
      </c>
      <c r="H378">
        <v>-0.02</v>
      </c>
      <c r="I378">
        <v>0.05847713560870194</v>
      </c>
      <c r="J378" t="s">
        <v>370</v>
      </c>
      <c r="K378" t="s">
        <v>370</v>
      </c>
      <c r="L378">
        <v>5.15</v>
      </c>
      <c r="M378">
        <v>1.56</v>
      </c>
      <c r="N378">
        <v>0.3029126213592233</v>
      </c>
      <c r="O378">
        <v>6</v>
      </c>
      <c r="P378">
        <v>0.09979014724923641</v>
      </c>
      <c r="Q378">
        <v>0.534128997700249</v>
      </c>
      <c r="R378" t="s">
        <v>779</v>
      </c>
      <c r="S378" t="s">
        <v>790</v>
      </c>
      <c r="T378">
        <v>20385.12572</v>
      </c>
      <c r="U378" s="2">
        <v>44492</v>
      </c>
      <c r="V378" t="s">
        <v>798</v>
      </c>
    </row>
    <row r="379" spans="1:22">
      <c r="A379" s="1" t="s">
        <v>399</v>
      </c>
      <c r="B379">
        <f>HYPERLINK("https://www.suredividend.com/sure-analysis-DDAIF/","Daimler AG")</f>
        <v>0</v>
      </c>
      <c r="C379">
        <v>100.525</v>
      </c>
      <c r="D379">
        <v>113</v>
      </c>
      <c r="E379">
        <v>0.8896017699115045</v>
      </c>
      <c r="F379">
        <v>0.01581696095498632</v>
      </c>
      <c r="G379">
        <v>0.02367211299240024</v>
      </c>
      <c r="H379">
        <v>0.02</v>
      </c>
      <c r="I379">
        <v>0.05811098719943963</v>
      </c>
      <c r="J379" t="s">
        <v>370</v>
      </c>
      <c r="K379" t="s">
        <v>514</v>
      </c>
      <c r="L379">
        <v>14.1</v>
      </c>
      <c r="M379">
        <v>1.59</v>
      </c>
      <c r="N379">
        <v>0.1127659574468085</v>
      </c>
      <c r="O379">
        <v>1</v>
      </c>
      <c r="P379">
        <v>0.02512087219852699</v>
      </c>
      <c r="Q379">
        <v>0.706497890295358</v>
      </c>
      <c r="R379" t="s">
        <v>779</v>
      </c>
      <c r="S379" t="s">
        <v>788</v>
      </c>
      <c r="T379">
        <v>108171.264266</v>
      </c>
      <c r="U379" s="2">
        <v>44498</v>
      </c>
      <c r="V379" t="s">
        <v>797</v>
      </c>
    </row>
    <row r="380" spans="1:22">
      <c r="A380" s="1" t="s">
        <v>400</v>
      </c>
      <c r="B380">
        <f>HYPERLINK("https://www.suredividend.com/sure-analysis-SO/","Southern Company")</f>
        <v>0</v>
      </c>
      <c r="C380">
        <v>63.86</v>
      </c>
      <c r="D380">
        <v>55</v>
      </c>
      <c r="E380">
        <v>1.161090909090909</v>
      </c>
      <c r="F380">
        <v>0.0410272471030379</v>
      </c>
      <c r="G380">
        <v>-0.02943024187171073</v>
      </c>
      <c r="H380">
        <v>0.05</v>
      </c>
      <c r="I380">
        <v>0.05768640437236439</v>
      </c>
      <c r="J380" t="s">
        <v>370</v>
      </c>
      <c r="K380" t="s">
        <v>776</v>
      </c>
      <c r="L380">
        <v>3.33</v>
      </c>
      <c r="M380">
        <v>2.62</v>
      </c>
      <c r="N380">
        <v>0.7867867867867868</v>
      </c>
      <c r="O380">
        <v>20</v>
      </c>
      <c r="P380">
        <v>0.03018318869451253</v>
      </c>
      <c r="Q380">
        <v>0.058868757103697</v>
      </c>
      <c r="R380" t="s">
        <v>779</v>
      </c>
      <c r="S380" t="s">
        <v>791</v>
      </c>
      <c r="T380">
        <v>67138.579029</v>
      </c>
      <c r="U380" s="2">
        <v>44432</v>
      </c>
      <c r="V380" t="s">
        <v>802</v>
      </c>
    </row>
    <row r="381" spans="1:22">
      <c r="A381" s="1" t="s">
        <v>401</v>
      </c>
      <c r="B381">
        <f>HYPERLINK("https://www.suredividend.com/sure-analysis-CUBE/","CubeSmart")</f>
        <v>0</v>
      </c>
      <c r="C381">
        <v>54.1</v>
      </c>
      <c r="D381">
        <v>42</v>
      </c>
      <c r="E381">
        <v>1.288095238095238</v>
      </c>
      <c r="F381">
        <v>0.03179297597042514</v>
      </c>
      <c r="G381">
        <v>-0.04937243097546651</v>
      </c>
      <c r="H381">
        <v>0.075</v>
      </c>
      <c r="I381">
        <v>0.05647359745575553</v>
      </c>
      <c r="J381" t="s">
        <v>370</v>
      </c>
      <c r="K381" t="s">
        <v>370</v>
      </c>
      <c r="L381">
        <v>2.1</v>
      </c>
      <c r="M381">
        <v>1.72</v>
      </c>
      <c r="N381">
        <v>0.819047619047619</v>
      </c>
      <c r="O381">
        <v>12</v>
      </c>
      <c r="P381">
        <v>0.08023542380212056</v>
      </c>
      <c r="Q381">
        <v>0.7897972621958681</v>
      </c>
      <c r="R381" t="s">
        <v>781</v>
      </c>
      <c r="S381" t="s">
        <v>793</v>
      </c>
      <c r="T381">
        <v>10995.724757</v>
      </c>
      <c r="U381" s="2">
        <v>44507</v>
      </c>
      <c r="V381" t="s">
        <v>794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71.14</v>
      </c>
      <c r="D382">
        <v>64</v>
      </c>
      <c r="E382">
        <v>1.1115625</v>
      </c>
      <c r="F382">
        <v>0.03978071408490301</v>
      </c>
      <c r="G382">
        <v>-0.02093117405751299</v>
      </c>
      <c r="H382">
        <v>0.04</v>
      </c>
      <c r="I382">
        <v>0.0563406861148763</v>
      </c>
      <c r="J382" t="s">
        <v>370</v>
      </c>
      <c r="K382" t="s">
        <v>776</v>
      </c>
      <c r="L382">
        <v>3.58</v>
      </c>
      <c r="M382">
        <v>2.83</v>
      </c>
      <c r="N382">
        <v>0.7905027932960894</v>
      </c>
      <c r="O382">
        <v>26</v>
      </c>
      <c r="P382">
        <v>0.03492902808124509</v>
      </c>
      <c r="Q382">
        <v>0.202345047273712</v>
      </c>
      <c r="R382" t="s">
        <v>781</v>
      </c>
      <c r="S382" t="s">
        <v>793</v>
      </c>
      <c r="T382">
        <v>28682.946249</v>
      </c>
      <c r="U382" s="2">
        <v>44507</v>
      </c>
      <c r="V382" t="s">
        <v>797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85.89</v>
      </c>
      <c r="D383">
        <v>101</v>
      </c>
      <c r="E383">
        <v>0.8503960396039604</v>
      </c>
      <c r="F383">
        <v>0.027011293514961</v>
      </c>
      <c r="G383">
        <v>0.03294156657315894</v>
      </c>
      <c r="H383">
        <v>0</v>
      </c>
      <c r="I383">
        <v>0.05631769484337301</v>
      </c>
      <c r="J383" t="s">
        <v>370</v>
      </c>
      <c r="K383" t="s">
        <v>370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0.667833945755101</v>
      </c>
      <c r="R383" t="s">
        <v>779</v>
      </c>
      <c r="S383" t="s">
        <v>786</v>
      </c>
      <c r="T383">
        <v>4667.01842</v>
      </c>
      <c r="U383" s="2">
        <v>44497</v>
      </c>
      <c r="V383" t="s">
        <v>799</v>
      </c>
    </row>
    <row r="384" spans="1:22">
      <c r="A384" s="1" t="s">
        <v>404</v>
      </c>
      <c r="B384">
        <f>HYPERLINK("https://www.suredividend.com/sure-analysis-BK/","Bank Of New York Mellon Corp")</f>
        <v>0</v>
      </c>
      <c r="C384">
        <v>59.16</v>
      </c>
      <c r="D384">
        <v>52</v>
      </c>
      <c r="E384">
        <v>1.137692307692308</v>
      </c>
      <c r="F384">
        <v>0.02298850574712644</v>
      </c>
      <c r="G384">
        <v>-0.02547039796076489</v>
      </c>
      <c r="H384">
        <v>0.06</v>
      </c>
      <c r="I384">
        <v>0.05607422480985247</v>
      </c>
      <c r="J384" t="s">
        <v>370</v>
      </c>
      <c r="K384" t="s">
        <v>514</v>
      </c>
      <c r="L384">
        <v>4.15</v>
      </c>
      <c r="M384">
        <v>1.36</v>
      </c>
      <c r="N384">
        <v>0.327710843373494</v>
      </c>
      <c r="O384">
        <v>11</v>
      </c>
      <c r="P384">
        <v>0.06000153927394081</v>
      </c>
      <c r="Q384">
        <v>0.536355339215089</v>
      </c>
      <c r="R384" t="s">
        <v>779</v>
      </c>
      <c r="S384" t="s">
        <v>790</v>
      </c>
      <c r="T384">
        <v>48376.597871</v>
      </c>
      <c r="U384" s="2">
        <v>44491</v>
      </c>
      <c r="V384" t="s">
        <v>798</v>
      </c>
    </row>
    <row r="385" spans="1:22">
      <c r="A385" s="1" t="s">
        <v>405</v>
      </c>
      <c r="B385">
        <f>HYPERLINK("https://www.suredividend.com/sure-analysis-AON/","Aon plc.")</f>
        <v>0</v>
      </c>
      <c r="C385">
        <v>297.72</v>
      </c>
      <c r="D385">
        <v>233</v>
      </c>
      <c r="E385">
        <v>1.277768240343348</v>
      </c>
      <c r="F385">
        <v>0.006852075775896816</v>
      </c>
      <c r="G385">
        <v>-0.04784076905894696</v>
      </c>
      <c r="H385">
        <v>0.1</v>
      </c>
      <c r="I385">
        <v>0.05513523924980412</v>
      </c>
      <c r="J385" t="s">
        <v>370</v>
      </c>
      <c r="K385" t="s">
        <v>777</v>
      </c>
      <c r="L385">
        <v>11.65</v>
      </c>
      <c r="M385">
        <v>2.04</v>
      </c>
      <c r="N385">
        <v>0.1751072961373391</v>
      </c>
      <c r="O385">
        <v>10</v>
      </c>
      <c r="P385">
        <v>0.1101602038533911</v>
      </c>
      <c r="Q385">
        <v>0.5545395030050521</v>
      </c>
      <c r="R385" t="s">
        <v>779</v>
      </c>
      <c r="S385" t="s">
        <v>790</v>
      </c>
      <c r="T385">
        <v>65555.500757</v>
      </c>
      <c r="U385" s="2">
        <v>44421</v>
      </c>
      <c r="V385" t="s">
        <v>798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35.05</v>
      </c>
      <c r="D386">
        <v>35</v>
      </c>
      <c r="E386">
        <v>1.001428571428571</v>
      </c>
      <c r="F386">
        <v>0.02196861626248217</v>
      </c>
      <c r="G386">
        <v>-0.000285469644021985</v>
      </c>
      <c r="H386">
        <v>0.03</v>
      </c>
      <c r="I386">
        <v>0.05470697058684926</v>
      </c>
      <c r="J386" t="s">
        <v>370</v>
      </c>
      <c r="K386" t="s">
        <v>514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0.328907435508346</v>
      </c>
      <c r="R386" t="s">
        <v>779</v>
      </c>
      <c r="S386" t="s">
        <v>788</v>
      </c>
      <c r="T386">
        <v>63263.675148</v>
      </c>
      <c r="U386" s="2">
        <v>44439</v>
      </c>
      <c r="V386" t="s">
        <v>802</v>
      </c>
    </row>
    <row r="387" spans="1:22">
      <c r="A387" s="1" t="s">
        <v>407</v>
      </c>
      <c r="B387">
        <f>HYPERLINK("https://www.suredividend.com/sure-analysis-ASML/","ASML Holding NV")</f>
        <v>0</v>
      </c>
      <c r="C387">
        <v>817.85</v>
      </c>
      <c r="D387">
        <v>583</v>
      </c>
      <c r="E387">
        <v>1.402830188679245</v>
      </c>
      <c r="F387">
        <v>0.005110961667787491</v>
      </c>
      <c r="G387">
        <v>-0.06545766598955538</v>
      </c>
      <c r="H387">
        <v>0.12</v>
      </c>
      <c r="I387">
        <v>0.05321042707826495</v>
      </c>
      <c r="J387" t="s">
        <v>370</v>
      </c>
      <c r="K387" t="s">
        <v>777</v>
      </c>
      <c r="L387">
        <v>15.75</v>
      </c>
      <c r="M387">
        <v>4.18</v>
      </c>
      <c r="N387">
        <v>0.2653968253968254</v>
      </c>
      <c r="O387">
        <v>6</v>
      </c>
      <c r="P387">
        <v>0.1500691206588143</v>
      </c>
      <c r="Q387">
        <v>1.103580132285135</v>
      </c>
      <c r="R387" t="s">
        <v>779</v>
      </c>
      <c r="S387" t="s">
        <v>785</v>
      </c>
      <c r="T387">
        <v>351350.47966</v>
      </c>
      <c r="U387" s="2">
        <v>44494</v>
      </c>
      <c r="V387" t="s">
        <v>798</v>
      </c>
    </row>
    <row r="388" spans="1:22">
      <c r="A388" s="1" t="s">
        <v>408</v>
      </c>
      <c r="B388">
        <f>HYPERLINK("https://www.suredividend.com/sure-analysis-WY/","Weyerhaeuser Co.")</f>
        <v>0</v>
      </c>
      <c r="C388">
        <v>36.89</v>
      </c>
      <c r="D388">
        <v>55.8</v>
      </c>
      <c r="E388">
        <v>0.6611111111111112</v>
      </c>
      <c r="F388">
        <v>0.0184331797235023</v>
      </c>
      <c r="G388">
        <v>0.08628831701296469</v>
      </c>
      <c r="H388">
        <v>-0.053</v>
      </c>
      <c r="I388">
        <v>0.05297381125043499</v>
      </c>
      <c r="J388" t="s">
        <v>370</v>
      </c>
      <c r="K388" t="s">
        <v>514</v>
      </c>
      <c r="L388">
        <v>3.28</v>
      </c>
      <c r="M388">
        <v>0.68</v>
      </c>
      <c r="N388">
        <v>0.2073170731707317</v>
      </c>
      <c r="O388">
        <v>0</v>
      </c>
      <c r="P388">
        <v>0.1486983549970351</v>
      </c>
      <c r="Q388">
        <v>0.3809157806863021</v>
      </c>
      <c r="R388" t="s">
        <v>781</v>
      </c>
      <c r="S388" t="s">
        <v>793</v>
      </c>
      <c r="T388">
        <v>28126.63975</v>
      </c>
      <c r="U388" s="2">
        <v>44506</v>
      </c>
      <c r="V388" t="s">
        <v>803</v>
      </c>
    </row>
    <row r="389" spans="1:22">
      <c r="A389" s="1" t="s">
        <v>409</v>
      </c>
      <c r="B389">
        <f>HYPERLINK("https://www.suredividend.com/sure-analysis-MGA/","Magna International Inc.")</f>
        <v>0</v>
      </c>
      <c r="C389">
        <v>83.40000000000001</v>
      </c>
      <c r="D389">
        <v>69</v>
      </c>
      <c r="E389">
        <v>1.208695652173913</v>
      </c>
      <c r="F389">
        <v>0.02062350119904077</v>
      </c>
      <c r="G389">
        <v>-0.03719883297041493</v>
      </c>
      <c r="H389">
        <v>0.07000000000000001</v>
      </c>
      <c r="I389">
        <v>0.0521140515955425</v>
      </c>
      <c r="J389" t="s">
        <v>370</v>
      </c>
      <c r="K389" t="s">
        <v>514</v>
      </c>
      <c r="L389">
        <v>6.87</v>
      </c>
      <c r="M389">
        <v>1.72</v>
      </c>
      <c r="N389">
        <v>0.2503639010189229</v>
      </c>
      <c r="O389">
        <v>11</v>
      </c>
      <c r="P389">
        <v>0.0750624704770988</v>
      </c>
      <c r="Q389">
        <v>0.419881042024485</v>
      </c>
      <c r="R389" t="s">
        <v>779</v>
      </c>
      <c r="S389" t="s">
        <v>788</v>
      </c>
      <c r="T389">
        <v>25236.182216</v>
      </c>
      <c r="U389" s="2">
        <v>44428</v>
      </c>
      <c r="V389" t="s">
        <v>804</v>
      </c>
    </row>
    <row r="390" spans="1:22">
      <c r="A390" s="1" t="s">
        <v>410</v>
      </c>
      <c r="B390">
        <f>HYPERLINK("https://www.suredividend.com/sure-analysis-MA/","Mastercard Incorporated")</f>
        <v>0</v>
      </c>
      <c r="C390">
        <v>357.94</v>
      </c>
      <c r="D390">
        <v>222</v>
      </c>
      <c r="E390">
        <v>1.612342342342342</v>
      </c>
      <c r="F390">
        <v>0.004917025199754149</v>
      </c>
      <c r="G390">
        <v>-0.09111581171035499</v>
      </c>
      <c r="H390">
        <v>0.15</v>
      </c>
      <c r="I390">
        <v>0.05152891161809792</v>
      </c>
      <c r="J390" t="s">
        <v>370</v>
      </c>
      <c r="K390" t="s">
        <v>777</v>
      </c>
      <c r="L390">
        <v>8.24</v>
      </c>
      <c r="M390">
        <v>1.76</v>
      </c>
      <c r="N390">
        <v>0.2135922330097087</v>
      </c>
      <c r="O390">
        <v>10</v>
      </c>
      <c r="P390">
        <v>0.1500007374307972</v>
      </c>
      <c r="Q390">
        <v>0.003985061844198</v>
      </c>
      <c r="R390" t="s">
        <v>779</v>
      </c>
      <c r="S390" t="s">
        <v>790</v>
      </c>
      <c r="T390">
        <v>335933.49166</v>
      </c>
      <c r="U390" s="2">
        <v>44499</v>
      </c>
      <c r="V390" t="s">
        <v>795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90.64</v>
      </c>
      <c r="D391">
        <v>77</v>
      </c>
      <c r="E391">
        <v>1.177142857142857</v>
      </c>
      <c r="F391">
        <v>0.02989849955869373</v>
      </c>
      <c r="G391">
        <v>-0.03209180780116005</v>
      </c>
      <c r="H391">
        <v>0.052</v>
      </c>
      <c r="I391">
        <v>0.04880315361465071</v>
      </c>
      <c r="J391" t="s">
        <v>370</v>
      </c>
      <c r="K391" t="s">
        <v>776</v>
      </c>
      <c r="L391">
        <v>4.06</v>
      </c>
      <c r="M391">
        <v>2.71</v>
      </c>
      <c r="N391">
        <v>0.6674876847290641</v>
      </c>
      <c r="O391">
        <v>18</v>
      </c>
      <c r="P391">
        <v>0.05189218178383381</v>
      </c>
      <c r="Q391">
        <v>-0.110485453628642</v>
      </c>
      <c r="R391" t="s">
        <v>779</v>
      </c>
      <c r="S391" t="s">
        <v>791</v>
      </c>
      <c r="T391">
        <v>28322.866538</v>
      </c>
      <c r="U391" s="2">
        <v>44502</v>
      </c>
      <c r="V391" t="s">
        <v>795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23.9</v>
      </c>
      <c r="D392">
        <v>26</v>
      </c>
      <c r="E392">
        <v>0.9192307692307692</v>
      </c>
      <c r="F392">
        <v>0.03096234309623431</v>
      </c>
      <c r="G392">
        <v>0.0169862693218279</v>
      </c>
      <c r="H392">
        <v>0</v>
      </c>
      <c r="I392">
        <v>0.04846544070802095</v>
      </c>
      <c r="J392" t="s">
        <v>370</v>
      </c>
      <c r="K392" t="s">
        <v>370</v>
      </c>
      <c r="L392">
        <v>2.4</v>
      </c>
      <c r="M392">
        <v>0.74</v>
      </c>
      <c r="N392">
        <v>0.3083333333333333</v>
      </c>
      <c r="O392">
        <v>10</v>
      </c>
      <c r="P392">
        <v>0.04900903024942593</v>
      </c>
      <c r="Q392">
        <v>0.619469147439312</v>
      </c>
      <c r="R392" t="s">
        <v>779</v>
      </c>
      <c r="S392" t="s">
        <v>790</v>
      </c>
      <c r="T392">
        <v>22075.391937</v>
      </c>
      <c r="U392" s="2">
        <v>44490</v>
      </c>
      <c r="V392" t="s">
        <v>799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167.62</v>
      </c>
      <c r="D393">
        <v>188</v>
      </c>
      <c r="E393">
        <v>0.8915957446808511</v>
      </c>
      <c r="F393">
        <v>0.02386350077556378</v>
      </c>
      <c r="G393">
        <v>0.02321383247782527</v>
      </c>
      <c r="H393">
        <v>0</v>
      </c>
      <c r="I393">
        <v>0.04843117747798731</v>
      </c>
      <c r="J393" t="s">
        <v>370</v>
      </c>
      <c r="K393" t="s">
        <v>514</v>
      </c>
      <c r="L393">
        <v>15</v>
      </c>
      <c r="M393">
        <v>4</v>
      </c>
      <c r="N393">
        <v>0.2666666666666667</v>
      </c>
      <c r="O393">
        <v>11</v>
      </c>
      <c r="P393">
        <v>0.06615002518126989</v>
      </c>
      <c r="Q393">
        <v>0.4712858975606891</v>
      </c>
      <c r="R393" t="s">
        <v>779</v>
      </c>
      <c r="S393" t="s">
        <v>790</v>
      </c>
      <c r="T393">
        <v>495834.539715</v>
      </c>
      <c r="U393" s="2">
        <v>44485</v>
      </c>
      <c r="V393" t="s">
        <v>798</v>
      </c>
    </row>
    <row r="394" spans="1:22">
      <c r="A394" s="1" t="s">
        <v>414</v>
      </c>
      <c r="B394">
        <f>HYPERLINK("https://www.suredividend.com/sure-analysis-PNC/","PNC Financial Services Group")</f>
        <v>0</v>
      </c>
      <c r="C394">
        <v>205.41</v>
      </c>
      <c r="D394">
        <v>180</v>
      </c>
      <c r="E394">
        <v>1.141166666666667</v>
      </c>
      <c r="F394">
        <v>0.02434156078087727</v>
      </c>
      <c r="G394">
        <v>-0.02606452618318478</v>
      </c>
      <c r="H394">
        <v>0.05</v>
      </c>
      <c r="I394">
        <v>0.04728781192386622</v>
      </c>
      <c r="J394" t="s">
        <v>370</v>
      </c>
      <c r="K394" t="s">
        <v>514</v>
      </c>
      <c r="L394">
        <v>14.3</v>
      </c>
      <c r="M394">
        <v>5</v>
      </c>
      <c r="N394">
        <v>0.3496503496503496</v>
      </c>
      <c r="O394">
        <v>11</v>
      </c>
      <c r="P394">
        <v>0.05061112176150684</v>
      </c>
      <c r="Q394">
        <v>0.661118639525862</v>
      </c>
      <c r="R394" t="s">
        <v>779</v>
      </c>
      <c r="S394" t="s">
        <v>790</v>
      </c>
      <c r="T394">
        <v>87503.552681</v>
      </c>
      <c r="U394" s="2">
        <v>44490</v>
      </c>
      <c r="V394" t="s">
        <v>802</v>
      </c>
    </row>
    <row r="395" spans="1:22">
      <c r="A395" s="1" t="s">
        <v>415</v>
      </c>
      <c r="B395">
        <f>HYPERLINK("https://www.suredividend.com/sure-analysis-WPC/","W. P. Carey Inc")</f>
        <v>0</v>
      </c>
      <c r="C395">
        <v>76.84999999999999</v>
      </c>
      <c r="D395">
        <v>62</v>
      </c>
      <c r="E395">
        <v>1.239516129032258</v>
      </c>
      <c r="F395">
        <v>0.05478204294079376</v>
      </c>
      <c r="G395">
        <v>-0.04203517325989359</v>
      </c>
      <c r="H395">
        <v>0.035</v>
      </c>
      <c r="I395">
        <v>0.04547962217196222</v>
      </c>
      <c r="J395" t="s">
        <v>370</v>
      </c>
      <c r="K395" t="s">
        <v>775</v>
      </c>
      <c r="L395">
        <v>4.98</v>
      </c>
      <c r="M395">
        <v>4.21</v>
      </c>
      <c r="N395">
        <v>0.8453815261044176</v>
      </c>
      <c r="O395">
        <v>23</v>
      </c>
      <c r="P395">
        <v>0.02007985595231565</v>
      </c>
      <c r="Q395">
        <v>0.21898936778324</v>
      </c>
      <c r="R395" t="s">
        <v>781</v>
      </c>
      <c r="S395" t="s">
        <v>793</v>
      </c>
      <c r="T395">
        <v>14301.095995</v>
      </c>
      <c r="U395" s="2">
        <v>44440</v>
      </c>
      <c r="V395" t="s">
        <v>797</v>
      </c>
    </row>
    <row r="396" spans="1:22">
      <c r="A396" s="1" t="s">
        <v>416</v>
      </c>
      <c r="B396">
        <f>HYPERLINK("https://www.suredividend.com/sure-analysis-PDCO/","Patterson Companies Inc.")</f>
        <v>0</v>
      </c>
      <c r="C396">
        <v>33.4</v>
      </c>
      <c r="D396">
        <v>30</v>
      </c>
      <c r="E396">
        <v>1.113333333333333</v>
      </c>
      <c r="F396">
        <v>0.03113772455089821</v>
      </c>
      <c r="G396">
        <v>-0.02124282768097308</v>
      </c>
      <c r="H396">
        <v>0.04</v>
      </c>
      <c r="I396">
        <v>0.04538690957051639</v>
      </c>
      <c r="J396" t="s">
        <v>370</v>
      </c>
      <c r="K396" t="s">
        <v>776</v>
      </c>
      <c r="L396">
        <v>2</v>
      </c>
      <c r="M396">
        <v>1.04</v>
      </c>
      <c r="N396">
        <v>0.52</v>
      </c>
      <c r="O396">
        <v>0</v>
      </c>
      <c r="P396">
        <v>0</v>
      </c>
      <c r="Q396">
        <v>0.178892215568862</v>
      </c>
      <c r="R396" t="s">
        <v>779</v>
      </c>
      <c r="S396" t="s">
        <v>784</v>
      </c>
      <c r="T396">
        <v>3249.58158</v>
      </c>
      <c r="U396" s="2">
        <v>44446</v>
      </c>
      <c r="V396" t="s">
        <v>800</v>
      </c>
    </row>
    <row r="397" spans="1:22">
      <c r="A397" s="1" t="s">
        <v>417</v>
      </c>
      <c r="B397">
        <f>HYPERLINK("https://www.suredividend.com/sure-analysis-HAL/","Halliburton Co.")</f>
        <v>0</v>
      </c>
      <c r="C397">
        <v>23.83</v>
      </c>
      <c r="D397">
        <v>14</v>
      </c>
      <c r="E397">
        <v>1.702142857142857</v>
      </c>
      <c r="F397">
        <v>0.007553503986571549</v>
      </c>
      <c r="G397">
        <v>-0.1009149036347009</v>
      </c>
      <c r="H397">
        <v>0.149</v>
      </c>
      <c r="I397">
        <v>0.04466703671364058</v>
      </c>
      <c r="J397" t="s">
        <v>370</v>
      </c>
      <c r="K397" t="s">
        <v>777</v>
      </c>
      <c r="L397">
        <v>1.1</v>
      </c>
      <c r="M397">
        <v>0.18</v>
      </c>
      <c r="N397">
        <v>0.1636363636363636</v>
      </c>
      <c r="O397">
        <v>0</v>
      </c>
      <c r="P397">
        <v>0.2011244339814313</v>
      </c>
      <c r="Q397">
        <v>0.7560442792026381</v>
      </c>
      <c r="R397" t="s">
        <v>779</v>
      </c>
      <c r="S397" t="s">
        <v>792</v>
      </c>
      <c r="T397">
        <v>22333.723999</v>
      </c>
      <c r="U397" s="2">
        <v>44491</v>
      </c>
      <c r="V397" t="s">
        <v>802</v>
      </c>
    </row>
    <row r="398" spans="1:22">
      <c r="A398" s="1" t="s">
        <v>418</v>
      </c>
      <c r="B398">
        <f>HYPERLINK("https://www.suredividend.com/sure-analysis-BUD/","Anheuser-Busch In Bev SA/NV")</f>
        <v>0</v>
      </c>
      <c r="C398">
        <v>60.12</v>
      </c>
      <c r="D398">
        <v>62</v>
      </c>
      <c r="E398">
        <v>0.9696774193548386</v>
      </c>
      <c r="F398">
        <v>0.009481037924151696</v>
      </c>
      <c r="G398">
        <v>0.006177365742295882</v>
      </c>
      <c r="H398">
        <v>0.03</v>
      </c>
      <c r="I398">
        <v>0.04445415461544222</v>
      </c>
      <c r="J398" t="s">
        <v>370</v>
      </c>
      <c r="K398" t="s">
        <v>777</v>
      </c>
      <c r="L398">
        <v>3.08</v>
      </c>
      <c r="M398">
        <v>0.57</v>
      </c>
      <c r="N398">
        <v>0.185064935064935</v>
      </c>
      <c r="O398">
        <v>0</v>
      </c>
      <c r="P398">
        <v>0</v>
      </c>
      <c r="Q398">
        <v>-0.030314760602908</v>
      </c>
      <c r="R398" t="s">
        <v>779</v>
      </c>
      <c r="S398" t="s">
        <v>789</v>
      </c>
      <c r="T398">
        <v>121396.827417</v>
      </c>
      <c r="U398" s="2">
        <v>44439</v>
      </c>
      <c r="V398" t="s">
        <v>800</v>
      </c>
    </row>
    <row r="399" spans="1:22">
      <c r="A399" s="1" t="s">
        <v>419</v>
      </c>
      <c r="B399">
        <f>HYPERLINK("https://www.suredividend.com/sure-analysis-BWA/","BorgWarner Inc")</f>
        <v>0</v>
      </c>
      <c r="C399">
        <v>47.01</v>
      </c>
      <c r="D399">
        <v>42</v>
      </c>
      <c r="E399">
        <v>1.119285714285714</v>
      </c>
      <c r="F399">
        <v>0.01446500744522442</v>
      </c>
      <c r="G399">
        <v>-0.02228605875900347</v>
      </c>
      <c r="H399">
        <v>0.05</v>
      </c>
      <c r="I399">
        <v>0.03930436272308113</v>
      </c>
      <c r="J399" t="s">
        <v>370</v>
      </c>
      <c r="K399" t="s">
        <v>514</v>
      </c>
      <c r="L399">
        <v>3.8</v>
      </c>
      <c r="M399">
        <v>0.68</v>
      </c>
      <c r="N399">
        <v>0.1789473684210527</v>
      </c>
      <c r="O399">
        <v>0</v>
      </c>
      <c r="P399">
        <v>0</v>
      </c>
      <c r="Q399">
        <v>0.242959901846263</v>
      </c>
      <c r="R399" t="s">
        <v>779</v>
      </c>
      <c r="S399" t="s">
        <v>786</v>
      </c>
      <c r="T399">
        <v>11149.364288</v>
      </c>
      <c r="U399" s="2">
        <v>44506</v>
      </c>
      <c r="V399" t="s">
        <v>795</v>
      </c>
    </row>
    <row r="400" spans="1:22">
      <c r="A400" s="1" t="s">
        <v>420</v>
      </c>
      <c r="B400">
        <f>HYPERLINK("https://www.suredividend.com/sure-analysis-HOG/","Harley-Davidson, Inc.")</f>
        <v>0</v>
      </c>
      <c r="C400">
        <v>37.16</v>
      </c>
      <c r="D400">
        <v>47</v>
      </c>
      <c r="E400">
        <v>0.7906382978723403</v>
      </c>
      <c r="F400">
        <v>0.01614639397201292</v>
      </c>
      <c r="G400">
        <v>0.0481041257058723</v>
      </c>
      <c r="H400">
        <v>-0.036</v>
      </c>
      <c r="I400">
        <v>0.03672028147230622</v>
      </c>
      <c r="J400" t="s">
        <v>370</v>
      </c>
      <c r="K400" t="s">
        <v>514</v>
      </c>
      <c r="L400">
        <v>3.6</v>
      </c>
      <c r="M400">
        <v>0.6</v>
      </c>
      <c r="N400">
        <v>0.1666666666666667</v>
      </c>
      <c r="O400">
        <v>0</v>
      </c>
      <c r="P400">
        <v>0.2011244339814313</v>
      </c>
      <c r="Q400">
        <v>0.15029925491633</v>
      </c>
      <c r="R400" t="s">
        <v>779</v>
      </c>
      <c r="S400" t="s">
        <v>788</v>
      </c>
      <c r="T400">
        <v>5795.378556</v>
      </c>
      <c r="U400" s="2">
        <v>44503</v>
      </c>
      <c r="V400" t="s">
        <v>803</v>
      </c>
    </row>
    <row r="401" spans="1:22">
      <c r="A401" s="1" t="s">
        <v>421</v>
      </c>
      <c r="B401">
        <f>HYPERLINK("https://www.suredividend.com/sure-analysis-MMC/","Marsh &amp; McLennan Cos., Inc.")</f>
        <v>0</v>
      </c>
      <c r="C401">
        <v>165.15</v>
      </c>
      <c r="D401">
        <v>135</v>
      </c>
      <c r="E401">
        <v>1.223333333333333</v>
      </c>
      <c r="F401">
        <v>0.01295791704511051</v>
      </c>
      <c r="G401">
        <v>-0.03951400197679533</v>
      </c>
      <c r="H401">
        <v>0.062</v>
      </c>
      <c r="I401">
        <v>0.03394403729504702</v>
      </c>
      <c r="J401" t="s">
        <v>370</v>
      </c>
      <c r="K401" t="s">
        <v>777</v>
      </c>
      <c r="L401">
        <v>6.15</v>
      </c>
      <c r="M401">
        <v>2.14</v>
      </c>
      <c r="N401">
        <v>0.3479674796747967</v>
      </c>
      <c r="O401">
        <v>12</v>
      </c>
      <c r="P401">
        <v>0.05971834352437777</v>
      </c>
      <c r="Q401">
        <v>0.514126306337902</v>
      </c>
      <c r="R401" t="s">
        <v>779</v>
      </c>
      <c r="S401" t="s">
        <v>790</v>
      </c>
      <c r="T401">
        <v>83267.343926</v>
      </c>
      <c r="U401" s="2">
        <v>44505</v>
      </c>
      <c r="V401" t="s">
        <v>801</v>
      </c>
    </row>
    <row r="402" spans="1:22">
      <c r="A402" s="1" t="s">
        <v>422</v>
      </c>
      <c r="B402">
        <f>HYPERLINK("https://www.suredividend.com/sure-analysis-GE/","General Electric Co.")</f>
        <v>0</v>
      </c>
      <c r="C402">
        <v>108.96</v>
      </c>
      <c r="D402">
        <v>72</v>
      </c>
      <c r="E402">
        <v>1.513333333333333</v>
      </c>
      <c r="F402">
        <v>0.002936857562408223</v>
      </c>
      <c r="G402">
        <v>-0.07952270511173942</v>
      </c>
      <c r="H402">
        <v>0.12</v>
      </c>
      <c r="I402">
        <v>0.03352146614431906</v>
      </c>
      <c r="J402" t="s">
        <v>370</v>
      </c>
      <c r="K402" t="s">
        <v>777</v>
      </c>
      <c r="L402">
        <v>2</v>
      </c>
      <c r="M402">
        <v>0.32</v>
      </c>
      <c r="N402">
        <v>0.16</v>
      </c>
      <c r="O402">
        <v>0</v>
      </c>
      <c r="P402">
        <v>0</v>
      </c>
      <c r="Q402">
        <v>0.600431421894661</v>
      </c>
      <c r="R402" t="s">
        <v>779</v>
      </c>
      <c r="S402" t="s">
        <v>786</v>
      </c>
      <c r="T402">
        <v>122211.680975</v>
      </c>
      <c r="U402" s="2">
        <v>44500</v>
      </c>
      <c r="V402" t="s">
        <v>794</v>
      </c>
    </row>
    <row r="403" spans="1:22">
      <c r="A403" s="1" t="s">
        <v>423</v>
      </c>
      <c r="B403">
        <f>HYPERLINK("https://www.suredividend.com/sure-analysis-PEG/","Public Service Enterprise Group Inc.")</f>
        <v>0</v>
      </c>
      <c r="C403">
        <v>62.72</v>
      </c>
      <c r="D403">
        <v>53</v>
      </c>
      <c r="E403">
        <v>1.183396226415094</v>
      </c>
      <c r="F403">
        <v>0.03252551020408163</v>
      </c>
      <c r="G403">
        <v>-0.03311691190518962</v>
      </c>
      <c r="H403">
        <v>0.03</v>
      </c>
      <c r="I403">
        <v>0.03061549422623466</v>
      </c>
      <c r="J403" t="s">
        <v>370</v>
      </c>
      <c r="K403" t="s">
        <v>776</v>
      </c>
      <c r="L403">
        <v>3.51</v>
      </c>
      <c r="M403">
        <v>2.04</v>
      </c>
      <c r="N403">
        <v>0.5811965811965812</v>
      </c>
      <c r="O403">
        <v>9</v>
      </c>
      <c r="P403">
        <v>0.0398346919425614</v>
      </c>
      <c r="Q403">
        <v>0.056664842095242</v>
      </c>
      <c r="R403" t="s">
        <v>779</v>
      </c>
      <c r="S403" t="s">
        <v>791</v>
      </c>
      <c r="T403">
        <v>31426.670796</v>
      </c>
      <c r="U403" s="2">
        <v>44423</v>
      </c>
      <c r="V403" t="s">
        <v>796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101.62</v>
      </c>
      <c r="D404">
        <v>78</v>
      </c>
      <c r="E404">
        <v>1.302820512820513</v>
      </c>
      <c r="F404">
        <v>0.03877189529620154</v>
      </c>
      <c r="G404">
        <v>-0.05153112763551126</v>
      </c>
      <c r="H404">
        <v>0.044</v>
      </c>
      <c r="I404">
        <v>0.03049405508738556</v>
      </c>
      <c r="J404" t="s">
        <v>370</v>
      </c>
      <c r="K404" t="s">
        <v>776</v>
      </c>
      <c r="L404">
        <v>5.19</v>
      </c>
      <c r="M404">
        <v>3.94</v>
      </c>
      <c r="N404">
        <v>0.7591522157996146</v>
      </c>
      <c r="O404">
        <v>10</v>
      </c>
      <c r="P404">
        <v>0.02693571566003095</v>
      </c>
      <c r="Q404">
        <v>0.111417536982756</v>
      </c>
      <c r="R404" t="s">
        <v>779</v>
      </c>
      <c r="S404" t="s">
        <v>791</v>
      </c>
      <c r="T404">
        <v>78441.661492</v>
      </c>
      <c r="U404" s="2">
        <v>44421</v>
      </c>
      <c r="V404" t="s">
        <v>803</v>
      </c>
    </row>
    <row r="405" spans="1:22">
      <c r="A405" s="1" t="s">
        <v>425</v>
      </c>
      <c r="B405">
        <f>HYPERLINK("https://www.suredividend.com/sure-analysis-NNN/","National Retail Properties Inc")</f>
        <v>0</v>
      </c>
      <c r="C405">
        <v>45.87</v>
      </c>
      <c r="D405">
        <v>39.1</v>
      </c>
      <c r="E405">
        <v>1.173145780051151</v>
      </c>
      <c r="F405">
        <v>0.04621757139742752</v>
      </c>
      <c r="G405">
        <v>-0.03143314425710264</v>
      </c>
      <c r="H405">
        <v>0.015</v>
      </c>
      <c r="I405">
        <v>0.03030986755230614</v>
      </c>
      <c r="J405" t="s">
        <v>370</v>
      </c>
      <c r="K405" t="s">
        <v>776</v>
      </c>
      <c r="L405">
        <v>2.79</v>
      </c>
      <c r="M405">
        <v>2.12</v>
      </c>
      <c r="N405">
        <v>0.7598566308243728</v>
      </c>
      <c r="O405">
        <v>21</v>
      </c>
      <c r="P405">
        <v>0.01643215369887963</v>
      </c>
      <c r="Q405">
        <v>0.24800661829938</v>
      </c>
      <c r="R405" t="s">
        <v>781</v>
      </c>
      <c r="S405" t="s">
        <v>793</v>
      </c>
      <c r="T405">
        <v>8053.790667</v>
      </c>
      <c r="U405" s="2">
        <v>44506</v>
      </c>
      <c r="V405" t="s">
        <v>803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177.09</v>
      </c>
      <c r="D406">
        <v>144</v>
      </c>
      <c r="E406">
        <v>1.229791666666667</v>
      </c>
      <c r="F406">
        <v>0.02371675419278333</v>
      </c>
      <c r="G406">
        <v>-0.04052493912899735</v>
      </c>
      <c r="H406">
        <v>0.045</v>
      </c>
      <c r="I406">
        <v>0.02924548764516333</v>
      </c>
      <c r="J406" t="s">
        <v>370</v>
      </c>
      <c r="K406" t="s">
        <v>370</v>
      </c>
      <c r="L406">
        <v>6.86</v>
      </c>
      <c r="M406">
        <v>4.2</v>
      </c>
      <c r="N406">
        <v>0.6122448979591837</v>
      </c>
      <c r="O406">
        <v>0</v>
      </c>
      <c r="P406">
        <v>0.05997935097636264</v>
      </c>
      <c r="Q406">
        <v>0.399756343697967</v>
      </c>
      <c r="R406" t="s">
        <v>781</v>
      </c>
      <c r="S406" t="s">
        <v>793</v>
      </c>
      <c r="T406">
        <v>4868.465642</v>
      </c>
      <c r="U406" s="2">
        <v>44416</v>
      </c>
      <c r="V406" t="s">
        <v>794</v>
      </c>
    </row>
    <row r="407" spans="1:22">
      <c r="A407" s="1" t="s">
        <v>427</v>
      </c>
      <c r="B407">
        <f>HYPERLINK("https://www.suredividend.com/sure-analysis-ESRT/","Empire State Realty Trust Inc")</f>
        <v>0</v>
      </c>
      <c r="C407">
        <v>10.43</v>
      </c>
      <c r="D407">
        <v>9.75</v>
      </c>
      <c r="E407">
        <v>1.06974358974359</v>
      </c>
      <c r="F407">
        <v>0.01342281879194631</v>
      </c>
      <c r="G407">
        <v>-0.01339329762663766</v>
      </c>
      <c r="H407">
        <v>0.02</v>
      </c>
      <c r="I407">
        <v>0.02876506871695472</v>
      </c>
      <c r="J407" t="s">
        <v>370</v>
      </c>
      <c r="K407" t="s">
        <v>777</v>
      </c>
      <c r="L407">
        <v>0.64</v>
      </c>
      <c r="M407">
        <v>0.14</v>
      </c>
      <c r="N407">
        <v>0.21875</v>
      </c>
      <c r="O407">
        <v>0</v>
      </c>
      <c r="P407">
        <v>0.2011244339814311</v>
      </c>
      <c r="Q407">
        <v>0.392794786016073</v>
      </c>
      <c r="R407" t="s">
        <v>781</v>
      </c>
      <c r="S407" t="s">
        <v>793</v>
      </c>
      <c r="T407">
        <v>1801.695964</v>
      </c>
      <c r="U407" s="2">
        <v>44500</v>
      </c>
      <c r="V407" t="s">
        <v>794</v>
      </c>
    </row>
    <row r="408" spans="1:22">
      <c r="A408" s="1" t="s">
        <v>428</v>
      </c>
      <c r="B408">
        <f>HYPERLINK("https://www.suredividend.com/sure-analysis-STZ/","Constellation Brands Inc")</f>
        <v>0</v>
      </c>
      <c r="C408">
        <v>222.34</v>
      </c>
      <c r="D408">
        <v>185</v>
      </c>
      <c r="E408">
        <v>1.201837837837838</v>
      </c>
      <c r="F408">
        <v>0.01367275344067644</v>
      </c>
      <c r="G408">
        <v>-0.03610256315437532</v>
      </c>
      <c r="H408">
        <v>0.05</v>
      </c>
      <c r="I408">
        <v>0.02678084316620266</v>
      </c>
      <c r="J408" t="s">
        <v>370</v>
      </c>
      <c r="K408" t="s">
        <v>777</v>
      </c>
      <c r="L408">
        <v>10.3</v>
      </c>
      <c r="M408">
        <v>3.04</v>
      </c>
      <c r="N408">
        <v>0.2951456310679612</v>
      </c>
      <c r="O408">
        <v>6</v>
      </c>
      <c r="P408">
        <v>0.05000563166277994</v>
      </c>
      <c r="Q408">
        <v>0.118945231053809</v>
      </c>
      <c r="R408" t="s">
        <v>779</v>
      </c>
      <c r="S408" t="s">
        <v>789</v>
      </c>
      <c r="T408">
        <v>41513.464163</v>
      </c>
      <c r="U408" s="2">
        <v>44475</v>
      </c>
      <c r="V408" t="s">
        <v>799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47.23</v>
      </c>
      <c r="D409">
        <v>39</v>
      </c>
      <c r="E409">
        <v>1.211025641025641</v>
      </c>
      <c r="F409">
        <v>0.0177853059496083</v>
      </c>
      <c r="G409">
        <v>-0.03756960041629953</v>
      </c>
      <c r="H409">
        <v>0.04</v>
      </c>
      <c r="I409">
        <v>0.02364079061366908</v>
      </c>
      <c r="J409" t="s">
        <v>370</v>
      </c>
      <c r="K409" t="s">
        <v>514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0.7237005143892961</v>
      </c>
      <c r="R409" t="s">
        <v>779</v>
      </c>
      <c r="S409" t="s">
        <v>790</v>
      </c>
      <c r="T409">
        <v>383669.85942</v>
      </c>
      <c r="U409" s="2">
        <v>44485</v>
      </c>
      <c r="V409" t="s">
        <v>798</v>
      </c>
    </row>
    <row r="410" spans="1:22">
      <c r="A410" s="1" t="s">
        <v>430</v>
      </c>
      <c r="B410">
        <f>HYPERLINK("https://www.suredividend.com/sure-analysis-GOLD/","Barrick Gold Corp.")</f>
        <v>0</v>
      </c>
      <c r="C410">
        <v>20.46</v>
      </c>
      <c r="D410">
        <v>23</v>
      </c>
      <c r="E410">
        <v>0.8895652173913043</v>
      </c>
      <c r="F410">
        <v>0.01759530791788856</v>
      </c>
      <c r="G410">
        <v>0.02368052545724675</v>
      </c>
      <c r="H410">
        <v>-0.02</v>
      </c>
      <c r="I410">
        <v>0.02210689411185718</v>
      </c>
      <c r="J410" t="s">
        <v>370</v>
      </c>
      <c r="K410" t="s">
        <v>514</v>
      </c>
      <c r="L410">
        <v>1.25</v>
      </c>
      <c r="M410">
        <v>0.36</v>
      </c>
      <c r="N410">
        <v>0.288</v>
      </c>
      <c r="O410">
        <v>5</v>
      </c>
      <c r="P410">
        <v>0.04095039696925684</v>
      </c>
      <c r="Q410">
        <v>-0.259427018457705</v>
      </c>
      <c r="R410" t="s">
        <v>779</v>
      </c>
      <c r="S410" t="s">
        <v>787</v>
      </c>
      <c r="T410">
        <v>34893.112443</v>
      </c>
      <c r="U410" s="2">
        <v>44428</v>
      </c>
      <c r="V410" t="s">
        <v>798</v>
      </c>
    </row>
    <row r="411" spans="1:22">
      <c r="A411" s="1" t="s">
        <v>431</v>
      </c>
      <c r="B411">
        <f>HYPERLINK("https://www.suredividend.com/sure-analysis-GS/","Goldman Sachs Group, Inc.")</f>
        <v>0</v>
      </c>
      <c r="C411">
        <v>399.12</v>
      </c>
      <c r="D411">
        <v>671</v>
      </c>
      <c r="E411">
        <v>0.5948137108792847</v>
      </c>
      <c r="F411">
        <v>0.02004409701342955</v>
      </c>
      <c r="G411">
        <v>0.109491056681926</v>
      </c>
      <c r="H411">
        <v>-0.1</v>
      </c>
      <c r="I411">
        <v>0.02028347500844441</v>
      </c>
      <c r="J411" t="s">
        <v>370</v>
      </c>
      <c r="K411" t="s">
        <v>514</v>
      </c>
      <c r="L411">
        <v>61</v>
      </c>
      <c r="M411">
        <v>8</v>
      </c>
      <c r="N411">
        <v>0.1311475409836066</v>
      </c>
      <c r="O411">
        <v>10</v>
      </c>
      <c r="P411">
        <v>0.03993111034207586</v>
      </c>
      <c r="Q411">
        <v>0.9194017016311721</v>
      </c>
      <c r="R411" t="s">
        <v>779</v>
      </c>
      <c r="S411" t="s">
        <v>790</v>
      </c>
      <c r="T411">
        <v>135708.334443</v>
      </c>
      <c r="U411" s="2">
        <v>44485</v>
      </c>
      <c r="V411" t="s">
        <v>798</v>
      </c>
    </row>
    <row r="412" spans="1:22">
      <c r="A412" s="1" t="s">
        <v>432</v>
      </c>
      <c r="B412">
        <f>HYPERLINK("https://www.suredividend.com/sure-analysis-FITB/","Fifth Third Bancorp")</f>
        <v>0</v>
      </c>
      <c r="C412">
        <v>44.03</v>
      </c>
      <c r="D412">
        <v>36</v>
      </c>
      <c r="E412">
        <v>1.223055555555556</v>
      </c>
      <c r="F412">
        <v>0.02725414490120372</v>
      </c>
      <c r="G412">
        <v>-0.03947037723218949</v>
      </c>
      <c r="H412">
        <v>0.03</v>
      </c>
      <c r="I412">
        <v>0.01865368524908018</v>
      </c>
      <c r="J412" t="s">
        <v>370</v>
      </c>
      <c r="K412" t="s">
        <v>370</v>
      </c>
      <c r="L412">
        <v>3.64</v>
      </c>
      <c r="M412">
        <v>1.2</v>
      </c>
      <c r="N412">
        <v>0.3296703296703297</v>
      </c>
      <c r="O412">
        <v>11</v>
      </c>
      <c r="P412">
        <v>0.02983277847878951</v>
      </c>
      <c r="Q412">
        <v>0.712538938994927</v>
      </c>
      <c r="R412" t="s">
        <v>779</v>
      </c>
      <c r="S412" t="s">
        <v>790</v>
      </c>
      <c r="T412">
        <v>30146.85874</v>
      </c>
      <c r="U412" s="2">
        <v>44488</v>
      </c>
      <c r="V412" t="s">
        <v>795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36.77</v>
      </c>
      <c r="D413">
        <v>26</v>
      </c>
      <c r="E413">
        <v>1.414230769230769</v>
      </c>
      <c r="F413">
        <v>0.01305412020669024</v>
      </c>
      <c r="G413">
        <v>-0.06696927890509996</v>
      </c>
      <c r="H413">
        <v>0.075</v>
      </c>
      <c r="I413">
        <v>0.01835663856224068</v>
      </c>
      <c r="J413" t="s">
        <v>370</v>
      </c>
      <c r="K413" t="s">
        <v>777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0.194374441102349</v>
      </c>
      <c r="R413" t="s">
        <v>779</v>
      </c>
      <c r="S413" t="s">
        <v>786</v>
      </c>
      <c r="T413">
        <v>8687.382575</v>
      </c>
      <c r="U413" s="2">
        <v>44493</v>
      </c>
      <c r="V413" t="s">
        <v>801</v>
      </c>
    </row>
    <row r="414" spans="1:22">
      <c r="A414" s="1" t="s">
        <v>434</v>
      </c>
      <c r="B414">
        <f>HYPERLINK("https://www.suredividend.com/sure-analysis-AGM/","Federal Agricultural Mortgage Corp.")</f>
        <v>0</v>
      </c>
      <c r="C414">
        <v>131.5</v>
      </c>
      <c r="D414">
        <v>88</v>
      </c>
      <c r="E414">
        <v>1.494318181818182</v>
      </c>
      <c r="F414">
        <v>0.0267680608365019</v>
      </c>
      <c r="G414">
        <v>-0.07719192984375278</v>
      </c>
      <c r="H414">
        <v>0.065</v>
      </c>
      <c r="I414">
        <v>0.01671622078243673</v>
      </c>
      <c r="J414" t="s">
        <v>370</v>
      </c>
      <c r="K414" t="s">
        <v>514</v>
      </c>
      <c r="L414">
        <v>10.39</v>
      </c>
      <c r="M414">
        <v>3.52</v>
      </c>
      <c r="N414">
        <v>0.3387872954764196</v>
      </c>
      <c r="O414">
        <v>10</v>
      </c>
      <c r="P414">
        <v>0.0799150058822331</v>
      </c>
      <c r="Q414">
        <v>0.917147230184099</v>
      </c>
      <c r="R414" t="s">
        <v>779</v>
      </c>
      <c r="S414" t="s">
        <v>790</v>
      </c>
      <c r="T414">
        <v>1318.523681</v>
      </c>
      <c r="U414" s="2">
        <v>44417</v>
      </c>
      <c r="V414" t="s">
        <v>801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154.11</v>
      </c>
      <c r="D415">
        <v>104</v>
      </c>
      <c r="E415">
        <v>1.481826923076923</v>
      </c>
      <c r="F415">
        <v>0.03010836415547336</v>
      </c>
      <c r="G415">
        <v>-0.07564136247968023</v>
      </c>
      <c r="H415">
        <v>0.06</v>
      </c>
      <c r="I415">
        <v>0.01607673780864927</v>
      </c>
      <c r="J415" t="s">
        <v>370</v>
      </c>
      <c r="K415" t="s">
        <v>776</v>
      </c>
      <c r="L415">
        <v>6.52</v>
      </c>
      <c r="M415">
        <v>4.64</v>
      </c>
      <c r="N415">
        <v>0.7116564417177914</v>
      </c>
      <c r="O415">
        <v>17</v>
      </c>
      <c r="P415">
        <v>0.06002162190703619</v>
      </c>
      <c r="Q415">
        <v>0.173900052289534</v>
      </c>
      <c r="R415" t="s">
        <v>781</v>
      </c>
      <c r="S415" t="s">
        <v>793</v>
      </c>
      <c r="T415">
        <v>44597.19871</v>
      </c>
      <c r="U415" s="2">
        <v>44497</v>
      </c>
      <c r="V415" t="s">
        <v>799</v>
      </c>
    </row>
    <row r="416" spans="1:22">
      <c r="A416" s="1" t="s">
        <v>436</v>
      </c>
      <c r="B416">
        <f>HYPERLINK("https://www.suredividend.com/sure-analysis-APLE/","Apple Hospitality REIT Inc")</f>
        <v>0</v>
      </c>
      <c r="C416">
        <v>16.22</v>
      </c>
      <c r="D416">
        <v>16.1</v>
      </c>
      <c r="E416">
        <v>1.007453416149068</v>
      </c>
      <c r="F416">
        <v>0.002466091245376079</v>
      </c>
      <c r="G416">
        <v>-0.001484053041940658</v>
      </c>
      <c r="H416">
        <v>-0.008</v>
      </c>
      <c r="I416">
        <v>0.01440107317907691</v>
      </c>
      <c r="J416" t="s">
        <v>370</v>
      </c>
      <c r="K416" t="s">
        <v>777</v>
      </c>
      <c r="L416">
        <v>0.72</v>
      </c>
      <c r="M416">
        <v>0.04</v>
      </c>
      <c r="N416">
        <v>0.05555555555555556</v>
      </c>
      <c r="O416">
        <v>0</v>
      </c>
      <c r="P416">
        <v>0.888175022589804</v>
      </c>
      <c r="Q416">
        <v>0.353405947010293</v>
      </c>
      <c r="R416" t="s">
        <v>781</v>
      </c>
      <c r="S416" t="s">
        <v>793</v>
      </c>
      <c r="T416">
        <v>3719.890146</v>
      </c>
      <c r="U416" s="2">
        <v>44420</v>
      </c>
      <c r="V416" t="s">
        <v>803</v>
      </c>
    </row>
    <row r="417" spans="1:22">
      <c r="A417" s="1" t="s">
        <v>437</v>
      </c>
      <c r="B417">
        <f>HYPERLINK("https://www.suredividend.com/sure-analysis-KLIC/","Kulicke &amp; Soffa Industries, Inc.")</f>
        <v>0</v>
      </c>
      <c r="C417">
        <v>55.22</v>
      </c>
      <c r="D417">
        <v>48</v>
      </c>
      <c r="E417">
        <v>1.150416666666667</v>
      </c>
      <c r="F417">
        <v>0.01231437884824339</v>
      </c>
      <c r="G417">
        <v>-0.02763578616896822</v>
      </c>
      <c r="H417">
        <v>0.03</v>
      </c>
      <c r="I417">
        <v>0.01419607896730479</v>
      </c>
      <c r="J417" t="s">
        <v>370</v>
      </c>
      <c r="K417" t="s">
        <v>514</v>
      </c>
      <c r="L417">
        <v>6.01</v>
      </c>
      <c r="M417">
        <v>0.68</v>
      </c>
      <c r="N417">
        <v>0.1131447587354409</v>
      </c>
      <c r="O417">
        <v>2</v>
      </c>
      <c r="P417">
        <v>0.01978934521903875</v>
      </c>
      <c r="Q417">
        <v>1.038231924259784</v>
      </c>
      <c r="R417" t="s">
        <v>779</v>
      </c>
      <c r="S417" t="s">
        <v>785</v>
      </c>
      <c r="T417">
        <v>3560.710527</v>
      </c>
      <c r="U417" s="2">
        <v>44419</v>
      </c>
      <c r="V417" t="s">
        <v>795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78.64</v>
      </c>
      <c r="D418">
        <v>67</v>
      </c>
      <c r="E418">
        <v>1.173731343283582</v>
      </c>
      <c r="F418">
        <v>0.01195320447609359</v>
      </c>
      <c r="G418">
        <v>-0.03152980527850235</v>
      </c>
      <c r="H418">
        <v>0.03</v>
      </c>
      <c r="I418">
        <v>0.0132111731368636</v>
      </c>
      <c r="J418" t="s">
        <v>370</v>
      </c>
      <c r="K418" t="s">
        <v>514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0.056837787038872</v>
      </c>
      <c r="R418" t="s">
        <v>779</v>
      </c>
      <c r="S418" t="s">
        <v>785</v>
      </c>
      <c r="T418">
        <v>13753.320959</v>
      </c>
      <c r="U418" s="2">
        <v>44495</v>
      </c>
      <c r="V418" t="s">
        <v>795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88.41</v>
      </c>
      <c r="D419">
        <v>83</v>
      </c>
      <c r="E419">
        <v>1.065180722891566</v>
      </c>
      <c r="F419">
        <v>0.03076575048071485</v>
      </c>
      <c r="G419">
        <v>-0.01254948566094016</v>
      </c>
      <c r="H419">
        <v>-0.01</v>
      </c>
      <c r="I419">
        <v>0.01189967179875584</v>
      </c>
      <c r="J419" t="s">
        <v>370</v>
      </c>
      <c r="K419" t="s">
        <v>370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0.6915945814873281</v>
      </c>
      <c r="R419" t="s">
        <v>779</v>
      </c>
      <c r="S419" t="s">
        <v>790</v>
      </c>
      <c r="T419">
        <v>11482.065533</v>
      </c>
      <c r="U419" s="2">
        <v>44490</v>
      </c>
      <c r="V419" t="s">
        <v>799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123.11</v>
      </c>
      <c r="D420">
        <v>86</v>
      </c>
      <c r="E420">
        <v>1.431511627906977</v>
      </c>
      <c r="F420">
        <v>0.02144423686134352</v>
      </c>
      <c r="G420">
        <v>-0.06923289959376033</v>
      </c>
      <c r="H420">
        <v>0.06</v>
      </c>
      <c r="I420">
        <v>0.01158171940886632</v>
      </c>
      <c r="J420" t="s">
        <v>370</v>
      </c>
      <c r="K420" t="s">
        <v>514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0.3914726050648381</v>
      </c>
      <c r="R420" t="s">
        <v>779</v>
      </c>
      <c r="S420" t="s">
        <v>786</v>
      </c>
      <c r="T420">
        <v>44341.842929</v>
      </c>
      <c r="U420" s="2">
        <v>44472</v>
      </c>
      <c r="V420" t="s">
        <v>795</v>
      </c>
    </row>
    <row r="421" spans="1:22">
      <c r="A421" s="1" t="s">
        <v>441</v>
      </c>
      <c r="B421">
        <f>HYPERLINK("https://www.suredividend.com/sure-analysis-OSK/","Oshkosh Corp")</f>
        <v>0</v>
      </c>
      <c r="C421">
        <v>115.78</v>
      </c>
      <c r="D421">
        <v>84</v>
      </c>
      <c r="E421">
        <v>1.378333333333333</v>
      </c>
      <c r="F421">
        <v>0.01278286405251339</v>
      </c>
      <c r="G421">
        <v>-0.06215914444845305</v>
      </c>
      <c r="H421">
        <v>0.06</v>
      </c>
      <c r="I421">
        <v>0.0106863786495992</v>
      </c>
      <c r="J421" t="s">
        <v>370</v>
      </c>
      <c r="K421" t="s">
        <v>514</v>
      </c>
      <c r="L421">
        <v>6</v>
      </c>
      <c r="M421">
        <v>1.48</v>
      </c>
      <c r="N421">
        <v>0.2466666666666667</v>
      </c>
      <c r="O421">
        <v>9</v>
      </c>
      <c r="P421">
        <v>0.09122612129561491</v>
      </c>
      <c r="Q421">
        <v>0.576945405950138</v>
      </c>
      <c r="R421" t="s">
        <v>779</v>
      </c>
      <c r="S421" t="s">
        <v>786</v>
      </c>
      <c r="T421">
        <v>7904.79119</v>
      </c>
      <c r="U421" s="2">
        <v>44502</v>
      </c>
      <c r="V421" t="s">
        <v>799</v>
      </c>
    </row>
    <row r="422" spans="1:22">
      <c r="A422" s="1" t="s">
        <v>442</v>
      </c>
      <c r="B422">
        <f>HYPERLINK("https://www.suredividend.com/sure-analysis-PACW/","Pacwest Bancorp")</f>
        <v>0</v>
      </c>
      <c r="C422">
        <v>48.97</v>
      </c>
      <c r="D422">
        <v>50</v>
      </c>
      <c r="E422">
        <v>0.9793999999999999</v>
      </c>
      <c r="F422">
        <v>0.02042066571370227</v>
      </c>
      <c r="G422">
        <v>0.004171705380904056</v>
      </c>
      <c r="H422">
        <v>-0.02</v>
      </c>
      <c r="I422">
        <v>0.008189928393569801</v>
      </c>
      <c r="J422" t="s">
        <v>370</v>
      </c>
      <c r="K422" t="s">
        <v>514</v>
      </c>
      <c r="L422">
        <v>5</v>
      </c>
      <c r="M422">
        <v>1</v>
      </c>
      <c r="N422">
        <v>0.2</v>
      </c>
      <c r="O422">
        <v>0</v>
      </c>
      <c r="P422">
        <v>0.05061112176150684</v>
      </c>
      <c r="Q422">
        <v>1.095568436719515</v>
      </c>
      <c r="R422" t="s">
        <v>779</v>
      </c>
      <c r="S422" t="s">
        <v>790</v>
      </c>
      <c r="T422">
        <v>5794.881118</v>
      </c>
      <c r="U422" s="2">
        <v>44493</v>
      </c>
      <c r="V422" t="s">
        <v>798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327.15</v>
      </c>
      <c r="D423">
        <v>242</v>
      </c>
      <c r="E423">
        <v>1.351859504132231</v>
      </c>
      <c r="F423">
        <v>0.02445361454990066</v>
      </c>
      <c r="G423">
        <v>-0.05851438614837823</v>
      </c>
      <c r="H423">
        <v>0.04</v>
      </c>
      <c r="I423">
        <v>0.007429433575522726</v>
      </c>
      <c r="J423" t="s">
        <v>370</v>
      </c>
      <c r="K423" t="s">
        <v>514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0.508642899119602</v>
      </c>
      <c r="R423" t="s">
        <v>781</v>
      </c>
      <c r="S423" t="s">
        <v>793</v>
      </c>
      <c r="T423">
        <v>56990.232</v>
      </c>
      <c r="U423" s="2">
        <v>44502</v>
      </c>
      <c r="V423" t="s">
        <v>795</v>
      </c>
    </row>
    <row r="424" spans="1:22">
      <c r="A424" s="1" t="s">
        <v>444</v>
      </c>
      <c r="B424">
        <f>HYPERLINK("https://www.suredividend.com/sure-analysis-MRVL/","Marvell Technology Inc")</f>
        <v>0</v>
      </c>
      <c r="C424">
        <v>70.97</v>
      </c>
      <c r="D424">
        <v>29</v>
      </c>
      <c r="E424">
        <v>2.447241379310345</v>
      </c>
      <c r="F424">
        <v>0.003381710581936029</v>
      </c>
      <c r="G424">
        <v>-0.1638876496114423</v>
      </c>
      <c r="H424">
        <v>0.2</v>
      </c>
      <c r="I424">
        <v>0.006649817194117835</v>
      </c>
      <c r="J424" t="s">
        <v>370</v>
      </c>
      <c r="K424" t="s">
        <v>777</v>
      </c>
      <c r="L424">
        <v>1.4</v>
      </c>
      <c r="M424">
        <v>0.24</v>
      </c>
      <c r="N424">
        <v>0.1714285714285714</v>
      </c>
      <c r="O424">
        <v>0</v>
      </c>
      <c r="P424">
        <v>0</v>
      </c>
      <c r="Q424">
        <v>0.5376734204274031</v>
      </c>
      <c r="R424" t="s">
        <v>779</v>
      </c>
      <c r="S424" t="s">
        <v>785</v>
      </c>
      <c r="T424">
        <v>60070.685439</v>
      </c>
      <c r="U424" s="2">
        <v>44461</v>
      </c>
      <c r="V424" t="s">
        <v>796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34.63</v>
      </c>
      <c r="D425">
        <v>21</v>
      </c>
      <c r="E425">
        <v>1.649047619047619</v>
      </c>
      <c r="F425">
        <v>0.02454519203003176</v>
      </c>
      <c r="G425">
        <v>-0.09519839846454048</v>
      </c>
      <c r="H425">
        <v>0.08</v>
      </c>
      <c r="I425">
        <v>0.005235918790520211</v>
      </c>
      <c r="J425" t="s">
        <v>370</v>
      </c>
      <c r="K425" t="s">
        <v>370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0.347046194334787</v>
      </c>
      <c r="R425" t="s">
        <v>779</v>
      </c>
      <c r="S425" t="s">
        <v>786</v>
      </c>
      <c r="T425">
        <v>71880.72072300001</v>
      </c>
      <c r="U425" s="2">
        <v>44494</v>
      </c>
      <c r="V425" t="s">
        <v>802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203.45</v>
      </c>
      <c r="D426">
        <v>123</v>
      </c>
      <c r="E426">
        <v>1.654065040650406</v>
      </c>
      <c r="F426">
        <v>0.01975915458343573</v>
      </c>
      <c r="G426">
        <v>-0.09574798864295375</v>
      </c>
      <c r="H426">
        <v>0.08</v>
      </c>
      <c r="I426">
        <v>0.0005883533255037765</v>
      </c>
      <c r="J426" t="s">
        <v>370</v>
      </c>
      <c r="K426" t="s">
        <v>514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0.388149537850764</v>
      </c>
      <c r="R426" t="s">
        <v>779</v>
      </c>
      <c r="S426" t="s">
        <v>789</v>
      </c>
      <c r="T426">
        <v>118886.006222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HYPERLINK("https://www.suredividend.com/sure-analysis-M/","Macy`s Inc")</f>
        <v>0</v>
      </c>
      <c r="C427">
        <v>29.82</v>
      </c>
      <c r="D427">
        <v>25</v>
      </c>
      <c r="E427">
        <v>1.1928</v>
      </c>
      <c r="F427">
        <v>0.02012072434607646</v>
      </c>
      <c r="G427">
        <v>-0.03464628126516411</v>
      </c>
      <c r="H427">
        <v>0.01</v>
      </c>
      <c r="I427">
        <v>-0.003680573502762741</v>
      </c>
      <c r="J427" t="s">
        <v>370</v>
      </c>
      <c r="K427" t="s">
        <v>514</v>
      </c>
      <c r="L427">
        <v>3.6</v>
      </c>
      <c r="M427">
        <v>0.6</v>
      </c>
      <c r="N427">
        <v>0.1666666666666667</v>
      </c>
      <c r="O427">
        <v>0</v>
      </c>
      <c r="P427">
        <v>0</v>
      </c>
      <c r="Q427">
        <v>3.003819389944016</v>
      </c>
      <c r="R427" t="s">
        <v>779</v>
      </c>
      <c r="S427" t="s">
        <v>788</v>
      </c>
      <c r="T427">
        <v>9480.065305</v>
      </c>
      <c r="U427" s="2">
        <v>44433</v>
      </c>
      <c r="V427" t="s">
        <v>797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134.3</v>
      </c>
      <c r="D428">
        <v>90</v>
      </c>
      <c r="E428">
        <v>1.492222222222222</v>
      </c>
      <c r="F428">
        <v>0.02233804914370811</v>
      </c>
      <c r="G428">
        <v>-0.07693284207103868</v>
      </c>
      <c r="H428">
        <v>0.05</v>
      </c>
      <c r="I428">
        <v>-0.004194348547424842</v>
      </c>
      <c r="J428" t="s">
        <v>370</v>
      </c>
      <c r="K428" t="s">
        <v>370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0.181429070580013</v>
      </c>
      <c r="R428" t="s">
        <v>779</v>
      </c>
      <c r="S428" t="s">
        <v>789</v>
      </c>
      <c r="T428">
        <v>380728.75</v>
      </c>
      <c r="U428" s="2">
        <v>44424</v>
      </c>
      <c r="V428" t="s">
        <v>802</v>
      </c>
    </row>
    <row r="429" spans="1:22">
      <c r="A429" s="1" t="s">
        <v>449</v>
      </c>
      <c r="B429">
        <f>HYPERLINK("https://www.suredividend.com/sure-analysis-FAST/","Fastenal Co.")</f>
        <v>0</v>
      </c>
      <c r="C429">
        <v>58.86</v>
      </c>
      <c r="D429">
        <v>37</v>
      </c>
      <c r="E429">
        <v>1.590810810810811</v>
      </c>
      <c r="F429">
        <v>0.01902820251444105</v>
      </c>
      <c r="G429">
        <v>-0.08866868587459131</v>
      </c>
      <c r="H429">
        <v>0.06</v>
      </c>
      <c r="I429">
        <v>-0.009171074372719357</v>
      </c>
      <c r="J429" t="s">
        <v>370</v>
      </c>
      <c r="K429" t="s">
        <v>514</v>
      </c>
      <c r="L429">
        <v>1.55</v>
      </c>
      <c r="M429">
        <v>1.12</v>
      </c>
      <c r="N429">
        <v>0.7225806451612904</v>
      </c>
      <c r="O429">
        <v>22</v>
      </c>
      <c r="P429">
        <v>0.06016789231717423</v>
      </c>
      <c r="Q429">
        <v>0.317584443453854</v>
      </c>
      <c r="R429" t="s">
        <v>779</v>
      </c>
      <c r="S429" t="s">
        <v>786</v>
      </c>
      <c r="T429">
        <v>33831.108482</v>
      </c>
      <c r="U429" s="2">
        <v>44482</v>
      </c>
      <c r="V429" t="s">
        <v>799</v>
      </c>
    </row>
    <row r="430" spans="1:22">
      <c r="A430" s="1" t="s">
        <v>450</v>
      </c>
      <c r="B430">
        <f>HYPERLINK("https://www.suredividend.com/sure-analysis-EAF/","GrafTech International Ltd.")</f>
        <v>0</v>
      </c>
      <c r="C430">
        <v>12.45</v>
      </c>
      <c r="D430">
        <v>9</v>
      </c>
      <c r="E430">
        <v>1.383333333333333</v>
      </c>
      <c r="F430">
        <v>0.00321285140562249</v>
      </c>
      <c r="G430">
        <v>-0.06283808400366231</v>
      </c>
      <c r="H430">
        <v>0.05</v>
      </c>
      <c r="I430">
        <v>-0.01208552207271196</v>
      </c>
      <c r="J430" t="s">
        <v>370</v>
      </c>
      <c r="K430" t="s">
        <v>777</v>
      </c>
      <c r="L430">
        <v>1.54</v>
      </c>
      <c r="M430">
        <v>0.04</v>
      </c>
      <c r="N430">
        <v>0.02597402597402597</v>
      </c>
      <c r="O430">
        <v>0</v>
      </c>
      <c r="P430">
        <v>0.04563955259127317</v>
      </c>
      <c r="Q430">
        <v>0.697885114301626</v>
      </c>
      <c r="R430" t="s">
        <v>779</v>
      </c>
      <c r="S430" t="s">
        <v>786</v>
      </c>
      <c r="T430">
        <v>3290.2776</v>
      </c>
      <c r="U430" s="2">
        <v>44418</v>
      </c>
      <c r="V430" t="s">
        <v>801</v>
      </c>
    </row>
    <row r="431" spans="1:22">
      <c r="A431" s="1" t="s">
        <v>451</v>
      </c>
      <c r="B431">
        <f>HYPERLINK("https://www.suredividend.com/sure-analysis-AVB/","Avalonbay Communities Inc.")</f>
        <v>0</v>
      </c>
      <c r="C431">
        <v>240.36</v>
      </c>
      <c r="D431">
        <v>147</v>
      </c>
      <c r="E431">
        <v>1.635102040816327</v>
      </c>
      <c r="F431">
        <v>0.02646030953569645</v>
      </c>
      <c r="G431">
        <v>-0.09366024936856543</v>
      </c>
      <c r="H431">
        <v>0.054</v>
      </c>
      <c r="I431">
        <v>-0.01319981041470575</v>
      </c>
      <c r="J431" t="s">
        <v>370</v>
      </c>
      <c r="K431" t="s">
        <v>370</v>
      </c>
      <c r="L431">
        <v>8.140000000000001</v>
      </c>
      <c r="M431">
        <v>6.36</v>
      </c>
      <c r="N431">
        <v>0.7813267813267813</v>
      </c>
      <c r="O431">
        <v>10</v>
      </c>
      <c r="P431">
        <v>0.01936140157470034</v>
      </c>
      <c r="Q431">
        <v>0.507598578099671</v>
      </c>
      <c r="R431" t="s">
        <v>781</v>
      </c>
      <c r="S431" t="s">
        <v>793</v>
      </c>
      <c r="T431">
        <v>33555.9876</v>
      </c>
      <c r="U431" s="2">
        <v>44503</v>
      </c>
      <c r="V431" t="s">
        <v>803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40.21</v>
      </c>
      <c r="D432">
        <v>23</v>
      </c>
      <c r="E432">
        <v>1.748260869565218</v>
      </c>
      <c r="F432">
        <v>0.03083809997513056</v>
      </c>
      <c r="G432">
        <v>-0.1057092214070755</v>
      </c>
      <c r="H432">
        <v>0.055</v>
      </c>
      <c r="I432">
        <v>-0.01609132392650603</v>
      </c>
      <c r="J432" t="s">
        <v>370</v>
      </c>
      <c r="K432" t="s">
        <v>370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0.131124946532959</v>
      </c>
      <c r="R432" t="s">
        <v>779</v>
      </c>
      <c r="S432" t="s">
        <v>786</v>
      </c>
      <c r="T432">
        <v>1762.411665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HYPERLINK("https://www.suredividend.com/sure-analysis-TER/","Teradyne, Inc.")</f>
        <v>0</v>
      </c>
      <c r="C433">
        <v>142.01</v>
      </c>
      <c r="D433">
        <v>87</v>
      </c>
      <c r="E433">
        <v>1.632298850574712</v>
      </c>
      <c r="F433">
        <v>0.002816703049081051</v>
      </c>
      <c r="G433">
        <v>-0.09334916671425286</v>
      </c>
      <c r="H433">
        <v>0.08</v>
      </c>
      <c r="I433">
        <v>-0.01675282853099336</v>
      </c>
      <c r="J433" t="s">
        <v>370</v>
      </c>
      <c r="K433" t="s">
        <v>777</v>
      </c>
      <c r="L433">
        <v>4.82</v>
      </c>
      <c r="M433">
        <v>0.4</v>
      </c>
      <c r="N433">
        <v>0.08298755186721991</v>
      </c>
      <c r="O433">
        <v>0</v>
      </c>
      <c r="P433">
        <v>0.09856054330611763</v>
      </c>
      <c r="Q433">
        <v>0.436929543812912</v>
      </c>
      <c r="R433" t="s">
        <v>779</v>
      </c>
      <c r="S433" t="s">
        <v>785</v>
      </c>
      <c r="T433">
        <v>23704.091123</v>
      </c>
      <c r="U433" s="2">
        <v>44502</v>
      </c>
      <c r="V433" t="s">
        <v>805</v>
      </c>
    </row>
    <row r="434" spans="1:22">
      <c r="A434" s="1" t="s">
        <v>454</v>
      </c>
      <c r="B434">
        <f>HYPERLINK("https://www.suredividend.com/sure-analysis-FCX/","Freeport-McMoRan Inc")</f>
        <v>0</v>
      </c>
      <c r="C434">
        <v>37.52</v>
      </c>
      <c r="D434">
        <v>40</v>
      </c>
      <c r="E434">
        <v>0.9380000000000001</v>
      </c>
      <c r="F434">
        <v>0.007995735607675905</v>
      </c>
      <c r="G434">
        <v>0.0128833503748802</v>
      </c>
      <c r="H434">
        <v>-0.04</v>
      </c>
      <c r="I434">
        <v>-0.01719411081451272</v>
      </c>
      <c r="J434" t="s">
        <v>370</v>
      </c>
      <c r="K434" t="s">
        <v>777</v>
      </c>
      <c r="L434">
        <v>3.05</v>
      </c>
      <c r="M434">
        <v>0.3</v>
      </c>
      <c r="N434">
        <v>0.09836065573770492</v>
      </c>
      <c r="O434">
        <v>1</v>
      </c>
      <c r="P434">
        <v>0.05922384104881218</v>
      </c>
      <c r="Q434">
        <v>0.9935616096992871</v>
      </c>
      <c r="R434" t="s">
        <v>779</v>
      </c>
      <c r="S434" t="s">
        <v>787</v>
      </c>
      <c r="T434">
        <v>57564.161827</v>
      </c>
      <c r="U434" s="2">
        <v>44498</v>
      </c>
      <c r="V434" t="s">
        <v>798</v>
      </c>
    </row>
    <row r="435" spans="1:22">
      <c r="A435" s="1" t="s">
        <v>455</v>
      </c>
      <c r="B435">
        <f>HYPERLINK("https://www.suredividend.com/sure-analysis-AUY/","Yamana Gold Inc.")</f>
        <v>0</v>
      </c>
      <c r="C435">
        <v>4.36</v>
      </c>
      <c r="D435">
        <v>3.29</v>
      </c>
      <c r="E435">
        <v>1.325227963525836</v>
      </c>
      <c r="F435">
        <v>0.02522935779816514</v>
      </c>
      <c r="G435">
        <v>-0.05476045658656692</v>
      </c>
      <c r="H435">
        <v>0.02</v>
      </c>
      <c r="I435">
        <v>-0.02195111039178466</v>
      </c>
      <c r="J435" t="s">
        <v>370</v>
      </c>
      <c r="K435" t="s">
        <v>370</v>
      </c>
      <c r="L435">
        <v>4.7</v>
      </c>
      <c r="M435">
        <v>0.11</v>
      </c>
      <c r="N435">
        <v>0.02340425531914894</v>
      </c>
      <c r="O435">
        <v>0</v>
      </c>
      <c r="P435">
        <v>-0.2288378350232393</v>
      </c>
      <c r="Q435">
        <v>-0.218249391259772</v>
      </c>
      <c r="R435" t="s">
        <v>779</v>
      </c>
      <c r="S435" t="s">
        <v>787</v>
      </c>
      <c r="T435">
        <v>4112.489354</v>
      </c>
      <c r="U435" s="2">
        <v>44443</v>
      </c>
      <c r="V435" t="s">
        <v>796</v>
      </c>
    </row>
    <row r="436" spans="1:22">
      <c r="A436" s="1" t="s">
        <v>456</v>
      </c>
      <c r="B436">
        <f>HYPERLINK("https://www.suredividend.com/sure-analysis-MT/","ArcelorMittal")</f>
        <v>0</v>
      </c>
      <c r="C436">
        <v>30.97</v>
      </c>
      <c r="D436">
        <v>25</v>
      </c>
      <c r="E436">
        <v>1.2388</v>
      </c>
      <c r="F436">
        <v>0.009686793671294802</v>
      </c>
      <c r="G436">
        <v>-0.04192444225452285</v>
      </c>
      <c r="H436">
        <v>0</v>
      </c>
      <c r="I436">
        <v>-0.0247858993508463</v>
      </c>
      <c r="J436" t="s">
        <v>370</v>
      </c>
      <c r="K436" t="s">
        <v>514</v>
      </c>
      <c r="L436">
        <v>11.2</v>
      </c>
      <c r="M436">
        <v>0.3</v>
      </c>
      <c r="N436">
        <v>0.02678571428571429</v>
      </c>
      <c r="O436">
        <v>0</v>
      </c>
      <c r="P436">
        <v>0.1486983549970351</v>
      </c>
      <c r="Q436">
        <v>1.03842653582043</v>
      </c>
      <c r="R436" t="s">
        <v>779</v>
      </c>
      <c r="S436" t="s">
        <v>787</v>
      </c>
      <c r="T436">
        <v>31479.396997</v>
      </c>
      <c r="U436" s="2">
        <v>44434</v>
      </c>
      <c r="V436" t="s">
        <v>802</v>
      </c>
    </row>
    <row r="437" spans="1:22">
      <c r="A437" s="1" t="s">
        <v>457</v>
      </c>
      <c r="B437">
        <f>HYPERLINK("https://www.suredividend.com/sure-analysis-INFY/","Infosys Ltd")</f>
        <v>0</v>
      </c>
      <c r="C437">
        <v>22.96</v>
      </c>
      <c r="D437">
        <v>13</v>
      </c>
      <c r="E437">
        <v>1.766153846153846</v>
      </c>
      <c r="F437">
        <v>0.01742160278745645</v>
      </c>
      <c r="G437">
        <v>-0.1075286286824682</v>
      </c>
      <c r="H437">
        <v>0.06</v>
      </c>
      <c r="I437">
        <v>-0.02783576567772961</v>
      </c>
      <c r="J437" t="s">
        <v>370</v>
      </c>
      <c r="K437" t="s">
        <v>514</v>
      </c>
      <c r="L437">
        <v>0.7</v>
      </c>
      <c r="M437">
        <v>0.4</v>
      </c>
      <c r="N437">
        <v>0.5714285714285715</v>
      </c>
      <c r="O437">
        <v>6</v>
      </c>
      <c r="P437">
        <v>0.08083252207959757</v>
      </c>
      <c r="Q437">
        <v>0.6014736306713131</v>
      </c>
      <c r="R437" t="s">
        <v>779</v>
      </c>
      <c r="S437" t="s">
        <v>785</v>
      </c>
      <c r="T437">
        <v>99287.632078</v>
      </c>
      <c r="U437" s="2">
        <v>44498</v>
      </c>
      <c r="V437" t="s">
        <v>797</v>
      </c>
    </row>
    <row r="438" spans="1:22">
      <c r="A438" s="1" t="s">
        <v>458</v>
      </c>
      <c r="B438">
        <f>HYPERLINK("https://www.suredividend.com/sure-analysis-RACE/","Ferrari N.V.")</f>
        <v>0</v>
      </c>
      <c r="C438">
        <v>252.98</v>
      </c>
      <c r="D438">
        <v>146</v>
      </c>
      <c r="E438">
        <v>1.732739726027397</v>
      </c>
      <c r="F438">
        <v>0.004110996916752313</v>
      </c>
      <c r="G438">
        <v>-0.1041127961590552</v>
      </c>
      <c r="H438">
        <v>0.075</v>
      </c>
      <c r="I438">
        <v>-0.03103383247707803</v>
      </c>
      <c r="J438" t="s">
        <v>370</v>
      </c>
      <c r="K438" t="s">
        <v>777</v>
      </c>
      <c r="L438">
        <v>5.02</v>
      </c>
      <c r="M438">
        <v>1.04</v>
      </c>
      <c r="N438">
        <v>0.2071713147410359</v>
      </c>
      <c r="O438">
        <v>0</v>
      </c>
      <c r="P438">
        <v>0.07455979142129743</v>
      </c>
      <c r="Q438">
        <v>0.253316770234862</v>
      </c>
      <c r="R438" t="s">
        <v>779</v>
      </c>
      <c r="S438" t="s">
        <v>788</v>
      </c>
      <c r="T438">
        <v>47419.240926</v>
      </c>
      <c r="U438" s="2">
        <v>44502</v>
      </c>
      <c r="V438" t="s">
        <v>795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64.69</v>
      </c>
      <c r="D439">
        <v>49</v>
      </c>
      <c r="E439">
        <v>1.320204081632653</v>
      </c>
      <c r="F439">
        <v>0.01607667336528057</v>
      </c>
      <c r="G439">
        <v>-0.05404214947099728</v>
      </c>
      <c r="H439">
        <v>0</v>
      </c>
      <c r="I439">
        <v>-0.03188678709204529</v>
      </c>
      <c r="J439" t="s">
        <v>370</v>
      </c>
      <c r="K439" t="s">
        <v>514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1.012337930717774</v>
      </c>
      <c r="R439" t="s">
        <v>779</v>
      </c>
      <c r="S439" t="s">
        <v>787</v>
      </c>
      <c r="T439">
        <v>13044.199085</v>
      </c>
      <c r="U439" s="2">
        <v>44494</v>
      </c>
      <c r="V439" t="s">
        <v>802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310.56</v>
      </c>
      <c r="D440">
        <v>164</v>
      </c>
      <c r="E440">
        <v>1.893658536585366</v>
      </c>
      <c r="F440">
        <v>0.006955177743431222</v>
      </c>
      <c r="G440">
        <v>-0.119884507214208</v>
      </c>
      <c r="H440">
        <v>0.08</v>
      </c>
      <c r="I440">
        <v>-0.03861731023581982</v>
      </c>
      <c r="J440" t="s">
        <v>370</v>
      </c>
      <c r="K440" t="s">
        <v>777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0.7041909744644981</v>
      </c>
      <c r="R440" t="s">
        <v>779</v>
      </c>
      <c r="S440" t="s">
        <v>786</v>
      </c>
      <c r="T440">
        <v>28331.309016</v>
      </c>
      <c r="U440" s="2">
        <v>44498</v>
      </c>
      <c r="V440" t="s">
        <v>797</v>
      </c>
    </row>
    <row r="441" spans="1:22">
      <c r="A441" s="1" t="s">
        <v>461</v>
      </c>
      <c r="B441">
        <f>HYPERLINK("https://www.suredividend.com/sure-analysis-TRGP/","Targa Resources Corp")</f>
        <v>0</v>
      </c>
      <c r="C441">
        <v>54.83</v>
      </c>
      <c r="D441">
        <v>36</v>
      </c>
      <c r="E441">
        <v>1.523055555555556</v>
      </c>
      <c r="F441">
        <v>0.007295276308590189</v>
      </c>
      <c r="G441">
        <v>-0.08070086605331439</v>
      </c>
      <c r="H441">
        <v>0.03</v>
      </c>
      <c r="I441">
        <v>-0.04037740105230492</v>
      </c>
      <c r="J441" t="s">
        <v>370</v>
      </c>
      <c r="K441" t="s">
        <v>777</v>
      </c>
      <c r="L441">
        <v>5.2</v>
      </c>
      <c r="M441">
        <v>0.4</v>
      </c>
      <c r="N441">
        <v>0.07692307692307693</v>
      </c>
      <c r="O441">
        <v>0</v>
      </c>
      <c r="P441">
        <v>0.1247461131420948</v>
      </c>
      <c r="Q441">
        <v>1.956153488612302</v>
      </c>
      <c r="R441" t="s">
        <v>779</v>
      </c>
      <c r="S441" t="s">
        <v>792</v>
      </c>
      <c r="T441">
        <v>13106.341825</v>
      </c>
      <c r="U441" s="2">
        <v>44438</v>
      </c>
      <c r="V441" t="s">
        <v>802</v>
      </c>
    </row>
    <row r="442" spans="1:22">
      <c r="A442" s="1" t="s">
        <v>462</v>
      </c>
      <c r="B442">
        <f>HYPERLINK("https://www.suredividend.com/sure-analysis-KKR/","KKR &amp; Co. Inc.")</f>
        <v>0</v>
      </c>
      <c r="C442">
        <v>76.06999999999999</v>
      </c>
      <c r="D442">
        <v>36</v>
      </c>
      <c r="E442">
        <v>2.113055555555555</v>
      </c>
      <c r="F442">
        <v>0.007624556329696332</v>
      </c>
      <c r="G442">
        <v>-0.138970924878992</v>
      </c>
      <c r="H442">
        <v>0.1</v>
      </c>
      <c r="I442">
        <v>-0.04311157085174377</v>
      </c>
      <c r="J442" t="s">
        <v>370</v>
      </c>
      <c r="K442" t="s">
        <v>777</v>
      </c>
      <c r="L442">
        <v>2.4</v>
      </c>
      <c r="M442">
        <v>0.58</v>
      </c>
      <c r="N442">
        <v>0.2416666666666667</v>
      </c>
      <c r="O442">
        <v>2</v>
      </c>
      <c r="P442">
        <v>0.01667585861299536</v>
      </c>
      <c r="Q442">
        <v>1.119489725863363</v>
      </c>
      <c r="R442" t="s">
        <v>779</v>
      </c>
      <c r="S442" t="s">
        <v>790</v>
      </c>
      <c r="T442">
        <v>46595.98501</v>
      </c>
      <c r="U442" s="2">
        <v>44507</v>
      </c>
      <c r="V442" t="s">
        <v>805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121.45</v>
      </c>
      <c r="D443">
        <v>86</v>
      </c>
      <c r="E443">
        <v>1.412209302325582</v>
      </c>
      <c r="F443">
        <v>0.004528612597776863</v>
      </c>
      <c r="G443">
        <v>-0.06670231964753526</v>
      </c>
      <c r="H443">
        <v>0.017</v>
      </c>
      <c r="I443">
        <v>-0.04502741703262492</v>
      </c>
      <c r="J443" t="s">
        <v>370</v>
      </c>
      <c r="K443" t="s">
        <v>777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0.417987261618476</v>
      </c>
      <c r="R443" t="s">
        <v>779</v>
      </c>
      <c r="S443" t="s">
        <v>785</v>
      </c>
      <c r="T443">
        <v>154441.868909</v>
      </c>
      <c r="U443" s="2">
        <v>44501</v>
      </c>
      <c r="V443" t="s">
        <v>795</v>
      </c>
    </row>
    <row r="444" spans="1:22">
      <c r="A444" s="1" t="s">
        <v>464</v>
      </c>
      <c r="B444">
        <f>HYPERLINK("https://www.suredividend.com/sure-analysis-APA/","APA Corporation")</f>
        <v>0</v>
      </c>
      <c r="C444">
        <v>28.73</v>
      </c>
      <c r="D444">
        <v>16</v>
      </c>
      <c r="E444">
        <v>1.795625</v>
      </c>
      <c r="F444">
        <v>0.01740341106856944</v>
      </c>
      <c r="G444">
        <v>-0.1104776361536235</v>
      </c>
      <c r="H444">
        <v>0.04</v>
      </c>
      <c r="I444">
        <v>-0.04879021434466402</v>
      </c>
      <c r="J444" t="s">
        <v>370</v>
      </c>
      <c r="K444" t="s">
        <v>514</v>
      </c>
      <c r="L444">
        <v>3.5</v>
      </c>
      <c r="M444">
        <v>0.5</v>
      </c>
      <c r="N444">
        <v>0.1428571428571428</v>
      </c>
      <c r="O444">
        <v>1</v>
      </c>
      <c r="P444">
        <v>0.05061112176150684</v>
      </c>
      <c r="Q444">
        <v>0.546963034748676</v>
      </c>
      <c r="R444" t="s">
        <v>779</v>
      </c>
      <c r="S444" t="s">
        <v>792</v>
      </c>
      <c r="T444">
        <v>10901.860513</v>
      </c>
      <c r="U444" s="2">
        <v>44508</v>
      </c>
      <c r="V444" t="s">
        <v>802</v>
      </c>
    </row>
    <row r="445" spans="1:22">
      <c r="A445" s="1" t="s">
        <v>465</v>
      </c>
      <c r="B445">
        <f>HYPERLINK("https://www.suredividend.com/sure-analysis-TRI/","Thomson-Reuters Corp")</f>
        <v>0</v>
      </c>
      <c r="C445">
        <v>120.38</v>
      </c>
      <c r="D445">
        <v>66</v>
      </c>
      <c r="E445">
        <v>1.823939393939394</v>
      </c>
      <c r="F445">
        <v>0.01345738494766573</v>
      </c>
      <c r="G445">
        <v>-0.1132566927117084</v>
      </c>
      <c r="H445">
        <v>0.05</v>
      </c>
      <c r="I445">
        <v>-0.05117517718815279</v>
      </c>
      <c r="J445" t="s">
        <v>370</v>
      </c>
      <c r="K445" t="s">
        <v>514</v>
      </c>
      <c r="L445">
        <v>2.05</v>
      </c>
      <c r="M445">
        <v>1.62</v>
      </c>
      <c r="N445">
        <v>0.7902439024390245</v>
      </c>
      <c r="O445">
        <v>28</v>
      </c>
      <c r="P445">
        <v>0.009687038902979728</v>
      </c>
      <c r="Q445">
        <v>0.4555213113091721</v>
      </c>
      <c r="R445" t="s">
        <v>779</v>
      </c>
      <c r="S445" t="s">
        <v>786</v>
      </c>
      <c r="T445">
        <v>59139.395223</v>
      </c>
      <c r="U445" s="2">
        <v>44502</v>
      </c>
      <c r="V445" t="s">
        <v>801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294.59</v>
      </c>
      <c r="D446">
        <v>104</v>
      </c>
      <c r="E446">
        <v>2.832596153846154</v>
      </c>
      <c r="F446">
        <v>0.0005431277368546115</v>
      </c>
      <c r="G446">
        <v>-0.1879868399518557</v>
      </c>
      <c r="H446">
        <v>0.15</v>
      </c>
      <c r="I446">
        <v>-0.06547169278325593</v>
      </c>
      <c r="J446" t="s">
        <v>370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1.251459626188815</v>
      </c>
      <c r="R446" t="s">
        <v>779</v>
      </c>
      <c r="S446" t="s">
        <v>785</v>
      </c>
      <c r="T446">
        <v>763972.4399999999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200.28</v>
      </c>
      <c r="D447">
        <v>97</v>
      </c>
      <c r="E447">
        <v>2.064742268041237</v>
      </c>
      <c r="F447">
        <v>0.007389654483722788</v>
      </c>
      <c r="G447">
        <v>-0.1349786426626656</v>
      </c>
      <c r="H447">
        <v>0.05</v>
      </c>
      <c r="I447">
        <v>-0.07945923085220441</v>
      </c>
      <c r="J447" t="s">
        <v>370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0.529838845773837</v>
      </c>
      <c r="R447" t="s">
        <v>779</v>
      </c>
      <c r="S447" t="s">
        <v>787</v>
      </c>
      <c r="T447">
        <v>27308.040662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HYPERLINK("https://www.suredividend.com/sure-analysis-OLN/","Olin Corp.")</f>
        <v>0</v>
      </c>
      <c r="C448">
        <v>59.46</v>
      </c>
      <c r="D448">
        <v>29</v>
      </c>
      <c r="E448">
        <v>2.050344827586207</v>
      </c>
      <c r="F448">
        <v>0.0134544231416078</v>
      </c>
      <c r="G448">
        <v>-0.1337672113837618</v>
      </c>
      <c r="H448">
        <v>0.03</v>
      </c>
      <c r="I448">
        <v>-0.08749269745179389</v>
      </c>
      <c r="J448" t="s">
        <v>370</v>
      </c>
      <c r="K448" t="s">
        <v>514</v>
      </c>
      <c r="L448">
        <v>13.2</v>
      </c>
      <c r="M448">
        <v>0.8</v>
      </c>
      <c r="N448">
        <v>0.06060606060606061</v>
      </c>
      <c r="O448">
        <v>0</v>
      </c>
      <c r="P448">
        <v>0</v>
      </c>
      <c r="Q448">
        <v>2.080166042925983</v>
      </c>
      <c r="R448" t="s">
        <v>779</v>
      </c>
      <c r="S448" t="s">
        <v>787</v>
      </c>
      <c r="T448">
        <v>9918.159001</v>
      </c>
      <c r="U448" s="2">
        <v>44411</v>
      </c>
      <c r="V448" t="s">
        <v>801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3.53</v>
      </c>
      <c r="D449">
        <v>1.98</v>
      </c>
      <c r="E449">
        <v>1.782828282828283</v>
      </c>
      <c r="F449">
        <v>0.0113314447592068</v>
      </c>
      <c r="G449">
        <v>-0.1092043307462486</v>
      </c>
      <c r="H449">
        <v>-0.01</v>
      </c>
      <c r="I449">
        <v>-0.1001269252821654</v>
      </c>
      <c r="J449" t="s">
        <v>370</v>
      </c>
      <c r="K449" t="s">
        <v>514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-0.09301130524152101</v>
      </c>
      <c r="R449" t="s">
        <v>781</v>
      </c>
      <c r="S449" t="s">
        <v>793</v>
      </c>
      <c r="T449">
        <v>843.651976</v>
      </c>
      <c r="U449" s="2">
        <v>44453</v>
      </c>
      <c r="V449" t="s">
        <v>800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10.13</v>
      </c>
      <c r="D450">
        <v>2.11</v>
      </c>
      <c r="E450">
        <v>4.800947867298579</v>
      </c>
      <c r="F450">
        <v>0.01184600197433366</v>
      </c>
      <c r="G450">
        <v>-0.2693075802202378</v>
      </c>
      <c r="H450">
        <v>0.1</v>
      </c>
      <c r="I450">
        <v>-0.1660746642532853</v>
      </c>
      <c r="J450" t="s">
        <v>370</v>
      </c>
      <c r="K450" t="s">
        <v>514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4.496481224636564</v>
      </c>
      <c r="R450" t="s">
        <v>779</v>
      </c>
      <c r="S450" t="s">
        <v>792</v>
      </c>
      <c r="T450">
        <v>2730.035985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12.44</v>
      </c>
      <c r="D451">
        <v>19</v>
      </c>
      <c r="E451">
        <v>0.6547368421052632</v>
      </c>
      <c r="F451">
        <v>0.09646302250803858</v>
      </c>
      <c r="G451">
        <v>0.08839526595368352</v>
      </c>
      <c r="H451">
        <v>0.04</v>
      </c>
      <c r="I451">
        <v>0.1853960471405938</v>
      </c>
      <c r="J451" t="s">
        <v>514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0.5818256158642541</v>
      </c>
      <c r="R451" t="s">
        <v>780</v>
      </c>
      <c r="S451" t="s">
        <v>792</v>
      </c>
      <c r="T451">
        <v>4868.924468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10.03</v>
      </c>
      <c r="D452">
        <v>18</v>
      </c>
      <c r="E452">
        <v>0.5572222222222222</v>
      </c>
      <c r="F452">
        <v>0.09072781655034896</v>
      </c>
      <c r="G452">
        <v>0.1240724775340125</v>
      </c>
      <c r="H452">
        <v>0.01</v>
      </c>
      <c r="I452">
        <v>0.1853202360858544</v>
      </c>
      <c r="J452" t="s">
        <v>514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0.34883783168966</v>
      </c>
      <c r="R452" t="s">
        <v>779</v>
      </c>
      <c r="S452" t="s">
        <v>792</v>
      </c>
      <c r="T452">
        <v>64538.702617</v>
      </c>
      <c r="U452" s="2">
        <v>44454</v>
      </c>
      <c r="V452" t="s">
        <v>800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17.43</v>
      </c>
      <c r="D453">
        <v>25</v>
      </c>
      <c r="E453">
        <v>0.6972</v>
      </c>
      <c r="F453">
        <v>0.08032128514056225</v>
      </c>
      <c r="G453">
        <v>0.07480214455923728</v>
      </c>
      <c r="H453">
        <v>0.02</v>
      </c>
      <c r="I453">
        <v>0.1527474010267174</v>
      </c>
      <c r="J453" t="s">
        <v>514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0.691816152128724</v>
      </c>
      <c r="R453" t="s">
        <v>780</v>
      </c>
      <c r="S453" t="s">
        <v>792</v>
      </c>
      <c r="T453">
        <v>1853.638734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15.26</v>
      </c>
      <c r="D454">
        <v>21</v>
      </c>
      <c r="E454">
        <v>0.7266666666666667</v>
      </c>
      <c r="F454">
        <v>0.0851900393184797</v>
      </c>
      <c r="G454">
        <v>0.06594047262945435</v>
      </c>
      <c r="H454">
        <v>0.01</v>
      </c>
      <c r="I454">
        <v>0.1479150989874209</v>
      </c>
      <c r="J454" t="s">
        <v>514</v>
      </c>
      <c r="K454" t="s">
        <v>776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0.017898155824035</v>
      </c>
      <c r="R454" t="s">
        <v>780</v>
      </c>
      <c r="S454" t="s">
        <v>791</v>
      </c>
      <c r="T454">
        <v>936.816049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10.79</v>
      </c>
      <c r="D455">
        <v>11.02</v>
      </c>
      <c r="E455">
        <v>0.9791288566243194</v>
      </c>
      <c r="F455">
        <v>0.07414272474513439</v>
      </c>
      <c r="G455">
        <v>0.004227314885105748</v>
      </c>
      <c r="H455">
        <v>0.08</v>
      </c>
      <c r="I455">
        <v>0.145412080507086</v>
      </c>
      <c r="J455" t="s">
        <v>514</v>
      </c>
      <c r="K455" t="s">
        <v>776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2.378256963162624</v>
      </c>
      <c r="R455" t="s">
        <v>780</v>
      </c>
      <c r="S455" t="s">
        <v>792</v>
      </c>
      <c r="T455">
        <v>1434.76207</v>
      </c>
      <c r="U455" s="2">
        <v>44497</v>
      </c>
      <c r="V455" t="s">
        <v>794</v>
      </c>
    </row>
    <row r="456" spans="1:22">
      <c r="A456" s="1" t="s">
        <v>476</v>
      </c>
      <c r="B456">
        <f>HYPERLINK("https://www.suredividend.com/sure-analysis-BHP/","BHP Group Limited")</f>
        <v>0</v>
      </c>
      <c r="C456">
        <v>52.32</v>
      </c>
      <c r="D456">
        <v>105</v>
      </c>
      <c r="E456">
        <v>0.4982857142857143</v>
      </c>
      <c r="F456">
        <v>0.06880733944954129</v>
      </c>
      <c r="G456">
        <v>0.1494876583222731</v>
      </c>
      <c r="H456">
        <v>-0.05</v>
      </c>
      <c r="I456">
        <v>0.1338004396869066</v>
      </c>
      <c r="J456" t="s">
        <v>514</v>
      </c>
      <c r="K456" t="s">
        <v>776</v>
      </c>
      <c r="L456">
        <v>7.5</v>
      </c>
      <c r="M456">
        <v>3.6</v>
      </c>
      <c r="N456">
        <v>0.48</v>
      </c>
      <c r="O456">
        <v>0</v>
      </c>
      <c r="P456">
        <v>-0.02328131613882611</v>
      </c>
      <c r="Q456">
        <v>0.127612354746002</v>
      </c>
      <c r="R456" t="s">
        <v>779</v>
      </c>
      <c r="S456" t="s">
        <v>787</v>
      </c>
      <c r="T456">
        <v>78771.71222</v>
      </c>
      <c r="U456" s="2">
        <v>44447</v>
      </c>
      <c r="V456" t="s">
        <v>802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10.65</v>
      </c>
      <c r="D457">
        <v>12.1</v>
      </c>
      <c r="E457">
        <v>0.8801652892561984</v>
      </c>
      <c r="F457">
        <v>0.06760563380281689</v>
      </c>
      <c r="G457">
        <v>0.02585777069892026</v>
      </c>
      <c r="H457">
        <v>0.05</v>
      </c>
      <c r="I457">
        <v>0.13288640737168</v>
      </c>
      <c r="J457" t="s">
        <v>514</v>
      </c>
      <c r="K457" t="s">
        <v>776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0.6014968912985821</v>
      </c>
      <c r="R457" t="s">
        <v>780</v>
      </c>
      <c r="S457" t="s">
        <v>792</v>
      </c>
      <c r="T457">
        <v>7729.894857</v>
      </c>
      <c r="U457" s="2">
        <v>44511</v>
      </c>
      <c r="V457" t="s">
        <v>794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10.97</v>
      </c>
      <c r="D458">
        <v>12</v>
      </c>
      <c r="E458">
        <v>0.9141666666666667</v>
      </c>
      <c r="F458">
        <v>0.02096627164995442</v>
      </c>
      <c r="G458">
        <v>0.01811051699592103</v>
      </c>
      <c r="H458">
        <v>0.09</v>
      </c>
      <c r="I458">
        <v>0.1285936604398674</v>
      </c>
      <c r="J458" t="s">
        <v>514</v>
      </c>
      <c r="K458" t="s">
        <v>514</v>
      </c>
      <c r="L458">
        <v>0.75</v>
      </c>
      <c r="M458">
        <v>0.23</v>
      </c>
      <c r="N458">
        <v>0.3066666666666667</v>
      </c>
      <c r="O458">
        <v>2</v>
      </c>
      <c r="P458">
        <v>0.1170340997937203</v>
      </c>
      <c r="Q458">
        <v>-0.06793616825633</v>
      </c>
      <c r="R458" t="s">
        <v>779</v>
      </c>
      <c r="S458" t="s">
        <v>785</v>
      </c>
      <c r="T458">
        <v>34257.212635</v>
      </c>
      <c r="U458" s="2">
        <v>44494</v>
      </c>
      <c r="V458" t="s">
        <v>802</v>
      </c>
    </row>
    <row r="459" spans="1:22">
      <c r="A459" s="1" t="s">
        <v>479</v>
      </c>
      <c r="B459">
        <f>HYPERLINK("https://www.suredividend.com/sure-analysis-PGR/","Progressive Corp.")</f>
        <v>0</v>
      </c>
      <c r="C459">
        <v>95.70999999999999</v>
      </c>
      <c r="D459">
        <v>96</v>
      </c>
      <c r="E459">
        <v>0.9969791666666666</v>
      </c>
      <c r="F459">
        <v>0.05119632222338314</v>
      </c>
      <c r="G459">
        <v>0.000605264150471907</v>
      </c>
      <c r="H459">
        <v>0.08</v>
      </c>
      <c r="I459">
        <v>0.1245166581766137</v>
      </c>
      <c r="J459" t="s">
        <v>514</v>
      </c>
      <c r="K459" t="s">
        <v>370</v>
      </c>
      <c r="L459">
        <v>7.7</v>
      </c>
      <c r="M459">
        <v>4.9</v>
      </c>
      <c r="N459">
        <v>0.6363636363636364</v>
      </c>
      <c r="O459">
        <v>4</v>
      </c>
      <c r="P459">
        <v>0.0800087729241854</v>
      </c>
      <c r="Q459">
        <v>0.108736307774512</v>
      </c>
      <c r="R459" t="s">
        <v>779</v>
      </c>
      <c r="S459" t="s">
        <v>790</v>
      </c>
      <c r="T459">
        <v>55844.324343</v>
      </c>
      <c r="U459" s="2">
        <v>44494</v>
      </c>
      <c r="V459" t="s">
        <v>794</v>
      </c>
    </row>
    <row r="460" spans="1:22">
      <c r="A460" s="1" t="s">
        <v>480</v>
      </c>
      <c r="B460">
        <f>HYPERLINK("https://www.suredividend.com/sure-analysis-MS/","Morgan Stanley")</f>
        <v>0</v>
      </c>
      <c r="C460">
        <v>97.77</v>
      </c>
      <c r="D460">
        <v>98</v>
      </c>
      <c r="E460">
        <v>0.9976530612244897</v>
      </c>
      <c r="F460">
        <v>0.02863864171013603</v>
      </c>
      <c r="G460">
        <v>0.0004700498694318878</v>
      </c>
      <c r="H460">
        <v>0.1</v>
      </c>
      <c r="I460">
        <v>0.1242002666371134</v>
      </c>
      <c r="J460" t="s">
        <v>514</v>
      </c>
      <c r="K460" t="s">
        <v>514</v>
      </c>
      <c r="L460">
        <v>7.51</v>
      </c>
      <c r="M460">
        <v>2.8</v>
      </c>
      <c r="N460">
        <v>0.3728362183754993</v>
      </c>
      <c r="O460">
        <v>8</v>
      </c>
      <c r="P460">
        <v>0.07978367728709435</v>
      </c>
      <c r="Q460">
        <v>0.822362180547457</v>
      </c>
      <c r="R460" t="s">
        <v>779</v>
      </c>
      <c r="S460" t="s">
        <v>790</v>
      </c>
      <c r="T460">
        <v>178920.815933</v>
      </c>
      <c r="U460" s="2">
        <v>44483</v>
      </c>
      <c r="V460" t="s">
        <v>794</v>
      </c>
    </row>
    <row r="461" spans="1:22">
      <c r="A461" s="1" t="s">
        <v>481</v>
      </c>
      <c r="B461">
        <f>HYPERLINK("https://www.suredividend.com/sure-analysis-PTR/","PetroChina Co. Ltd.")</f>
        <v>0</v>
      </c>
      <c r="C461">
        <v>44.84</v>
      </c>
      <c r="D461">
        <v>90</v>
      </c>
      <c r="E461">
        <v>0.4982222222222222</v>
      </c>
      <c r="F461">
        <v>0.07515611061552185</v>
      </c>
      <c r="G461">
        <v>0.1495169543352153</v>
      </c>
      <c r="H461">
        <v>-0.06</v>
      </c>
      <c r="I461">
        <v>0.1230063479067092</v>
      </c>
      <c r="J461" t="s">
        <v>514</v>
      </c>
      <c r="K461" t="s">
        <v>776</v>
      </c>
      <c r="L461">
        <v>7.5</v>
      </c>
      <c r="M461">
        <v>3.37</v>
      </c>
      <c r="N461">
        <v>0.4493333333333334</v>
      </c>
      <c r="O461">
        <v>0</v>
      </c>
      <c r="P461">
        <v>-0.06024767149116905</v>
      </c>
      <c r="Q461">
        <v>0.509088868199856</v>
      </c>
      <c r="R461" t="s">
        <v>779</v>
      </c>
      <c r="S461" t="s">
        <v>792</v>
      </c>
      <c r="T461">
        <v>9644.30719</v>
      </c>
      <c r="U461" s="2">
        <v>44442</v>
      </c>
      <c r="V461" t="s">
        <v>802</v>
      </c>
    </row>
    <row r="462" spans="1:22">
      <c r="A462" s="1" t="s">
        <v>482</v>
      </c>
      <c r="B462">
        <f>HYPERLINK("https://www.suredividend.com/sure-analysis-AVAL/","Grupo Aval Acciones y Valores S.A.")</f>
        <v>0</v>
      </c>
      <c r="C462">
        <v>5.66</v>
      </c>
      <c r="D462">
        <v>7.5</v>
      </c>
      <c r="E462">
        <v>0.7546666666666667</v>
      </c>
      <c r="F462">
        <v>0.0441696113074205</v>
      </c>
      <c r="G462">
        <v>0.05791059455640846</v>
      </c>
      <c r="H462">
        <v>0.03</v>
      </c>
      <c r="I462">
        <v>0.1219542427535958</v>
      </c>
      <c r="J462" t="s">
        <v>514</v>
      </c>
      <c r="K462" t="s">
        <v>776</v>
      </c>
      <c r="L462">
        <v>0.75</v>
      </c>
      <c r="M462">
        <v>0.25</v>
      </c>
      <c r="N462">
        <v>0.3333333333333333</v>
      </c>
      <c r="O462">
        <v>0</v>
      </c>
      <c r="P462">
        <v>0.03012896281839894</v>
      </c>
      <c r="Q462">
        <v>0.209121663951885</v>
      </c>
      <c r="R462" t="s">
        <v>779</v>
      </c>
      <c r="S462" t="s">
        <v>790</v>
      </c>
      <c r="T462">
        <v>2069.872716</v>
      </c>
      <c r="U462" s="2">
        <v>44464</v>
      </c>
      <c r="V462" t="s">
        <v>796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42.61</v>
      </c>
      <c r="D463">
        <v>50</v>
      </c>
      <c r="E463">
        <v>0.8522</v>
      </c>
      <c r="F463">
        <v>0.02346866932644919</v>
      </c>
      <c r="G463">
        <v>0.03250388399375148</v>
      </c>
      <c r="H463">
        <v>0.07000000000000001</v>
      </c>
      <c r="I463">
        <v>0.1201020205106713</v>
      </c>
      <c r="J463" t="s">
        <v>514</v>
      </c>
      <c r="K463" t="s">
        <v>514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0.7141173526634</v>
      </c>
      <c r="R463" t="s">
        <v>779</v>
      </c>
      <c r="S463" t="s">
        <v>788</v>
      </c>
      <c r="T463">
        <v>11820.268195</v>
      </c>
      <c r="U463" s="2">
        <v>44436</v>
      </c>
      <c r="V463" t="s">
        <v>796</v>
      </c>
    </row>
    <row r="464" spans="1:22">
      <c r="A464" s="1" t="s">
        <v>484</v>
      </c>
      <c r="B464">
        <f>HYPERLINK("https://www.suredividend.com/sure-analysis-VALE/","Vale S.A.")</f>
        <v>0</v>
      </c>
      <c r="C464">
        <v>11.98</v>
      </c>
      <c r="D464">
        <v>21</v>
      </c>
      <c r="E464">
        <v>0.5704761904761905</v>
      </c>
      <c r="F464">
        <v>0.1894824707846411</v>
      </c>
      <c r="G464">
        <v>0.1188000969569534</v>
      </c>
      <c r="H464">
        <v>-0.07000000000000001</v>
      </c>
      <c r="I464">
        <v>0.1199732129423174</v>
      </c>
      <c r="J464" t="s">
        <v>514</v>
      </c>
      <c r="K464" t="s">
        <v>776</v>
      </c>
      <c r="L464">
        <v>4.2</v>
      </c>
      <c r="M464">
        <v>2.27</v>
      </c>
      <c r="N464">
        <v>0.5404761904761904</v>
      </c>
      <c r="O464">
        <v>1</v>
      </c>
      <c r="P464">
        <v>-0.1803080202371039</v>
      </c>
      <c r="Q464">
        <v>0.196888682434101</v>
      </c>
      <c r="R464" t="s">
        <v>779</v>
      </c>
      <c r="S464" t="s">
        <v>787</v>
      </c>
      <c r="T464">
        <v>62154.0712</v>
      </c>
      <c r="U464" s="2">
        <v>44503</v>
      </c>
      <c r="V464" t="s">
        <v>797</v>
      </c>
    </row>
    <row r="465" spans="1:22">
      <c r="A465" s="1" t="s">
        <v>485</v>
      </c>
      <c r="B465">
        <f>HYPERLINK("https://www.suredividend.com/sure-analysis-HSBC/","HSBC Holdings plc")</f>
        <v>0</v>
      </c>
      <c r="C465">
        <v>28.9</v>
      </c>
      <c r="D465">
        <v>39</v>
      </c>
      <c r="E465">
        <v>0.7410256410256409</v>
      </c>
      <c r="F465">
        <v>0.03806228373702423</v>
      </c>
      <c r="G465">
        <v>0.0617770961961992</v>
      </c>
      <c r="H465">
        <v>0.03</v>
      </c>
      <c r="I465">
        <v>0.1190308160075297</v>
      </c>
      <c r="J465" t="s">
        <v>514</v>
      </c>
      <c r="K465" t="s">
        <v>370</v>
      </c>
      <c r="L465">
        <v>3.23</v>
      </c>
      <c r="M465">
        <v>1.1</v>
      </c>
      <c r="N465">
        <v>0.3405572755417957</v>
      </c>
      <c r="O465">
        <v>0</v>
      </c>
      <c r="P465">
        <v>0</v>
      </c>
      <c r="Q465">
        <v>0.225189180520209</v>
      </c>
      <c r="R465" t="s">
        <v>779</v>
      </c>
      <c r="S465" t="s">
        <v>790</v>
      </c>
      <c r="T465">
        <v>118533.294904</v>
      </c>
      <c r="U465" s="2">
        <v>44495</v>
      </c>
      <c r="V465" t="s">
        <v>796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71.05</v>
      </c>
      <c r="D466">
        <v>75</v>
      </c>
      <c r="E466">
        <v>0.9473333333333332</v>
      </c>
      <c r="F466">
        <v>0.02927515833919775</v>
      </c>
      <c r="G466">
        <v>0.01087960895839002</v>
      </c>
      <c r="H466">
        <v>0.07000000000000001</v>
      </c>
      <c r="I466">
        <v>0.117892209106335</v>
      </c>
      <c r="J466" t="s">
        <v>514</v>
      </c>
      <c r="K466" t="s">
        <v>514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0.328474629103242</v>
      </c>
      <c r="R466" t="s">
        <v>781</v>
      </c>
      <c r="S466" t="s">
        <v>793</v>
      </c>
      <c r="T466">
        <v>8338.656503</v>
      </c>
      <c r="U466" s="2">
        <v>44498</v>
      </c>
      <c r="V466" t="s">
        <v>796</v>
      </c>
    </row>
    <row r="467" spans="1:22">
      <c r="A467" s="1" t="s">
        <v>487</v>
      </c>
      <c r="B467">
        <f>HYPERLINK("https://www.suredividend.com/sure-analysis-UNIT/","Uniti Group Inc")</f>
        <v>0</v>
      </c>
      <c r="C467">
        <v>13.68</v>
      </c>
      <c r="D467">
        <v>16.2</v>
      </c>
      <c r="E467">
        <v>0.8444444444444444</v>
      </c>
      <c r="F467">
        <v>0.04385964912280702</v>
      </c>
      <c r="G467">
        <v>0.03439350143683439</v>
      </c>
      <c r="H467">
        <v>0.043</v>
      </c>
      <c r="I467">
        <v>0.1175582926738208</v>
      </c>
      <c r="J467" t="s">
        <v>514</v>
      </c>
      <c r="K467" t="s">
        <v>370</v>
      </c>
      <c r="L467">
        <v>1.62</v>
      </c>
      <c r="M467">
        <v>0.6</v>
      </c>
      <c r="N467">
        <v>0.3703703703703703</v>
      </c>
      <c r="O467">
        <v>0</v>
      </c>
      <c r="P467">
        <v>0.08447177119769855</v>
      </c>
      <c r="Q467">
        <v>0.5282406839740941</v>
      </c>
      <c r="R467" t="s">
        <v>781</v>
      </c>
      <c r="S467" t="s">
        <v>793</v>
      </c>
      <c r="T467">
        <v>3236.532985</v>
      </c>
      <c r="U467" s="2">
        <v>44447</v>
      </c>
      <c r="V467" t="s">
        <v>803</v>
      </c>
    </row>
    <row r="468" spans="1:22">
      <c r="A468" s="1" t="s">
        <v>488</v>
      </c>
      <c r="B468">
        <f>HYPERLINK("https://www.suredividend.com/sure-analysis-ET/","Energy Transfer LP")</f>
        <v>0</v>
      </c>
      <c r="C468">
        <v>9.08</v>
      </c>
      <c r="D468">
        <v>11.1</v>
      </c>
      <c r="E468">
        <v>0.8180180180180181</v>
      </c>
      <c r="F468">
        <v>0.0671806167400881</v>
      </c>
      <c r="G468">
        <v>0.04099208167213653</v>
      </c>
      <c r="H468">
        <v>0.02</v>
      </c>
      <c r="I468">
        <v>0.1171372620621924</v>
      </c>
      <c r="J468" t="s">
        <v>514</v>
      </c>
      <c r="K468" t="s">
        <v>776</v>
      </c>
      <c r="L468">
        <v>2.1</v>
      </c>
      <c r="M468">
        <v>0.61</v>
      </c>
      <c r="N468">
        <v>0.2904761904761904</v>
      </c>
      <c r="O468">
        <v>0</v>
      </c>
      <c r="P468">
        <v>0.05039574430966676</v>
      </c>
      <c r="Q468">
        <v>0.7943065273650911</v>
      </c>
      <c r="R468" t="s">
        <v>780</v>
      </c>
      <c r="S468" t="s">
        <v>792</v>
      </c>
      <c r="T468">
        <v>25317.582189</v>
      </c>
      <c r="U468" s="2">
        <v>44509</v>
      </c>
      <c r="V468" t="s">
        <v>802</v>
      </c>
    </row>
    <row r="469" spans="1:22">
      <c r="A469" s="1" t="s">
        <v>489</v>
      </c>
      <c r="B469">
        <f>HYPERLINK("https://www.suredividend.com/sure-analysis-TGP/","Teekay LNG Partners LP")</f>
        <v>0</v>
      </c>
      <c r="C469">
        <v>16.88</v>
      </c>
      <c r="D469">
        <v>18.5</v>
      </c>
      <c r="E469">
        <v>0.9124324324324323</v>
      </c>
      <c r="F469">
        <v>0.06812796208530805</v>
      </c>
      <c r="G469">
        <v>0.01849724180242851</v>
      </c>
      <c r="H469">
        <v>0.04</v>
      </c>
      <c r="I469">
        <v>0.1142186489456871</v>
      </c>
      <c r="J469" t="s">
        <v>514</v>
      </c>
      <c r="K469" t="s">
        <v>776</v>
      </c>
      <c r="L469">
        <v>3.7</v>
      </c>
      <c r="M469">
        <v>1.15</v>
      </c>
      <c r="N469">
        <v>0.3108108108108107</v>
      </c>
      <c r="O469">
        <v>3</v>
      </c>
      <c r="P469">
        <v>0.04012620718096094</v>
      </c>
      <c r="Q469">
        <v>0.613920421969957</v>
      </c>
      <c r="R469" t="s">
        <v>780</v>
      </c>
      <c r="S469" t="s">
        <v>792</v>
      </c>
      <c r="T469">
        <v>1468.606342</v>
      </c>
      <c r="U469" s="2">
        <v>44413</v>
      </c>
      <c r="V469" t="s">
        <v>794</v>
      </c>
    </row>
    <row r="470" spans="1:22">
      <c r="A470" s="1" t="s">
        <v>490</v>
      </c>
      <c r="B470">
        <f>HYPERLINK("https://www.suredividend.com/sure-analysis-NYCB/","New York Community Bancorp Inc.")</f>
        <v>0</v>
      </c>
      <c r="C470">
        <v>12.43</v>
      </c>
      <c r="D470">
        <v>14</v>
      </c>
      <c r="E470">
        <v>0.8878571428571428</v>
      </c>
      <c r="F470">
        <v>0.05470635559131135</v>
      </c>
      <c r="G470">
        <v>0.02407409747878853</v>
      </c>
      <c r="H470">
        <v>0.05</v>
      </c>
      <c r="I470">
        <v>0.1133991033348636</v>
      </c>
      <c r="J470" t="s">
        <v>514</v>
      </c>
      <c r="K470" t="s">
        <v>370</v>
      </c>
      <c r="L470">
        <v>1.25</v>
      </c>
      <c r="M470">
        <v>0.68</v>
      </c>
      <c r="N470">
        <v>0.544</v>
      </c>
      <c r="O470">
        <v>0</v>
      </c>
      <c r="P470">
        <v>0</v>
      </c>
      <c r="Q470">
        <v>0.490524522677265</v>
      </c>
      <c r="R470" t="s">
        <v>779</v>
      </c>
      <c r="S470" t="s">
        <v>790</v>
      </c>
      <c r="T470">
        <v>5859.262067</v>
      </c>
      <c r="U470" s="2">
        <v>44409</v>
      </c>
      <c r="V470" t="s">
        <v>798</v>
      </c>
    </row>
    <row r="471" spans="1:22">
      <c r="A471" s="1" t="s">
        <v>491</v>
      </c>
      <c r="B471">
        <f>HYPERLINK("https://www.suredividend.com/sure-analysis-GORO/","Gold Resource Corporation")</f>
        <v>0</v>
      </c>
      <c r="C471">
        <v>2.04</v>
      </c>
      <c r="D471">
        <v>1.35</v>
      </c>
      <c r="E471">
        <v>1.511111111111111</v>
      </c>
      <c r="F471">
        <v>0.0196078431372549</v>
      </c>
      <c r="G471">
        <v>-0.07925213560735089</v>
      </c>
      <c r="H471">
        <v>0.19</v>
      </c>
      <c r="I471">
        <v>0.1126240566573522</v>
      </c>
      <c r="J471" t="s">
        <v>514</v>
      </c>
      <c r="K471" t="s">
        <v>777</v>
      </c>
      <c r="L471">
        <v>0.09</v>
      </c>
      <c r="M471">
        <v>0.04</v>
      </c>
      <c r="N471">
        <v>0.4444444444444445</v>
      </c>
      <c r="O471">
        <v>2</v>
      </c>
      <c r="P471">
        <v>0.08447177119769855</v>
      </c>
      <c r="Q471">
        <v>-0.320115212003483</v>
      </c>
      <c r="R471" t="s">
        <v>779</v>
      </c>
      <c r="S471" t="s">
        <v>787</v>
      </c>
      <c r="T471">
        <v>151.400808</v>
      </c>
      <c r="U471" s="2">
        <v>44447</v>
      </c>
      <c r="V471" t="s">
        <v>802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77.53</v>
      </c>
      <c r="D472">
        <v>84</v>
      </c>
      <c r="E472">
        <v>0.9229761904761905</v>
      </c>
      <c r="F472">
        <v>0.04746549722687992</v>
      </c>
      <c r="G472">
        <v>0.01615954379503126</v>
      </c>
      <c r="H472">
        <v>0.06</v>
      </c>
      <c r="I472">
        <v>0.1123861251452578</v>
      </c>
      <c r="J472" t="s">
        <v>514</v>
      </c>
      <c r="K472" t="s">
        <v>776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0.4593602188395161</v>
      </c>
      <c r="R472" t="s">
        <v>779</v>
      </c>
      <c r="S472" t="s">
        <v>792</v>
      </c>
      <c r="T472">
        <v>34684.398613</v>
      </c>
      <c r="U472" s="2">
        <v>44501</v>
      </c>
      <c r="V472" t="s">
        <v>802</v>
      </c>
    </row>
    <row r="473" spans="1:22">
      <c r="A473" s="1" t="s">
        <v>493</v>
      </c>
      <c r="B473">
        <f>HYPERLINK("https://www.suredividend.com/sure-analysis-TAP/","Molson Coors Beverage Company")</f>
        <v>0</v>
      </c>
      <c r="C473">
        <v>46.04</v>
      </c>
      <c r="D473">
        <v>58</v>
      </c>
      <c r="E473">
        <v>0.7937931034482758</v>
      </c>
      <c r="F473">
        <v>0.02953953084274544</v>
      </c>
      <c r="G473">
        <v>0.0472696931910197</v>
      </c>
      <c r="H473">
        <v>0.04</v>
      </c>
      <c r="I473">
        <v>0.1118065748744548</v>
      </c>
      <c r="J473" t="s">
        <v>514</v>
      </c>
      <c r="K473" t="s">
        <v>514</v>
      </c>
      <c r="L473">
        <v>4.15</v>
      </c>
      <c r="M473">
        <v>1.36</v>
      </c>
      <c r="N473">
        <v>0.327710843373494</v>
      </c>
      <c r="O473">
        <v>0</v>
      </c>
      <c r="P473">
        <v>0.03941506521508265</v>
      </c>
      <c r="Q473">
        <v>0.118118213653816</v>
      </c>
      <c r="R473" t="s">
        <v>779</v>
      </c>
      <c r="S473" t="s">
        <v>789</v>
      </c>
      <c r="T473">
        <v>9308.247216</v>
      </c>
      <c r="U473" s="2">
        <v>44500</v>
      </c>
      <c r="V473" t="s">
        <v>799</v>
      </c>
    </row>
    <row r="474" spans="1:22">
      <c r="A474" s="1" t="s">
        <v>494</v>
      </c>
      <c r="B474">
        <f>HYPERLINK("https://www.suredividend.com/sure-analysis-WEN/","Wendy`s Co")</f>
        <v>0</v>
      </c>
      <c r="C474">
        <v>21.4</v>
      </c>
      <c r="D474">
        <v>24</v>
      </c>
      <c r="E474">
        <v>0.8916666666666666</v>
      </c>
      <c r="F474">
        <v>0.02242990654205608</v>
      </c>
      <c r="G474">
        <v>0.02319755494530495</v>
      </c>
      <c r="H474">
        <v>0.07000000000000001</v>
      </c>
      <c r="I474">
        <v>0.1112725944513546</v>
      </c>
      <c r="J474" t="s">
        <v>514</v>
      </c>
      <c r="K474" t="s">
        <v>777</v>
      </c>
      <c r="L474">
        <v>0.8</v>
      </c>
      <c r="M474">
        <v>0.48</v>
      </c>
      <c r="N474">
        <v>0.6</v>
      </c>
      <c r="O474">
        <v>0</v>
      </c>
      <c r="P474">
        <v>0.02760046099310043</v>
      </c>
      <c r="Q474">
        <v>0.04509702528372701</v>
      </c>
      <c r="R474" t="s">
        <v>779</v>
      </c>
      <c r="S474" t="s">
        <v>788</v>
      </c>
      <c r="T474">
        <v>5133.02847</v>
      </c>
      <c r="U474" s="2">
        <v>44419</v>
      </c>
      <c r="V474" t="s">
        <v>801</v>
      </c>
    </row>
    <row r="475" spans="1:22">
      <c r="A475" s="1" t="s">
        <v>495</v>
      </c>
      <c r="B475">
        <f>HYPERLINK("https://www.suredividend.com/sure-analysis-SLG/","SL Green Realty Corp.")</f>
        <v>0</v>
      </c>
      <c r="C475">
        <v>76.84</v>
      </c>
      <c r="D475">
        <v>86</v>
      </c>
      <c r="E475">
        <v>0.8934883720930233</v>
      </c>
      <c r="F475">
        <v>0.04737116085372202</v>
      </c>
      <c r="G475">
        <v>0.02277998117262325</v>
      </c>
      <c r="H475">
        <v>0.05</v>
      </c>
      <c r="I475">
        <v>0.1112022718673564</v>
      </c>
      <c r="J475" t="s">
        <v>514</v>
      </c>
      <c r="K475" t="s">
        <v>370</v>
      </c>
      <c r="L475">
        <v>6.6</v>
      </c>
      <c r="M475">
        <v>3.64</v>
      </c>
      <c r="N475">
        <v>0.5515151515151515</v>
      </c>
      <c r="O475">
        <v>10</v>
      </c>
      <c r="P475">
        <v>0.0386524708023015</v>
      </c>
      <c r="Q475">
        <v>0.330916326775119</v>
      </c>
      <c r="R475" t="s">
        <v>781</v>
      </c>
      <c r="S475" t="s">
        <v>793</v>
      </c>
      <c r="T475">
        <v>5315.981647</v>
      </c>
      <c r="U475" s="2">
        <v>44494</v>
      </c>
      <c r="V475" t="s">
        <v>802</v>
      </c>
    </row>
    <row r="476" spans="1:22">
      <c r="A476" s="1" t="s">
        <v>496</v>
      </c>
      <c r="B476">
        <f>HYPERLINK("https://www.suredividend.com/sure-analysis-MGP/","MGM Growth Properties LLC")</f>
        <v>0</v>
      </c>
      <c r="C476">
        <v>38.91</v>
      </c>
      <c r="D476">
        <v>38</v>
      </c>
      <c r="E476">
        <v>1.023947368421052</v>
      </c>
      <c r="F476">
        <v>0.05242868157286045</v>
      </c>
      <c r="G476">
        <v>-0.004721842339319937</v>
      </c>
      <c r="H476">
        <v>0.07000000000000001</v>
      </c>
      <c r="I476">
        <v>0.1073360722899193</v>
      </c>
      <c r="J476" t="s">
        <v>514</v>
      </c>
      <c r="K476" t="s">
        <v>776</v>
      </c>
      <c r="L476">
        <v>2.54</v>
      </c>
      <c r="M476">
        <v>2.04</v>
      </c>
      <c r="N476">
        <v>0.8031496062992126</v>
      </c>
      <c r="O476">
        <v>46</v>
      </c>
      <c r="P476">
        <v>0.0398346919425614</v>
      </c>
      <c r="Q476">
        <v>0.444055250809596</v>
      </c>
      <c r="R476" t="s">
        <v>781</v>
      </c>
      <c r="S476" t="s">
        <v>793</v>
      </c>
      <c r="T476">
        <v>6161.470601</v>
      </c>
      <c r="U476" s="2">
        <v>44507</v>
      </c>
      <c r="V476" t="s">
        <v>796</v>
      </c>
    </row>
    <row r="477" spans="1:22">
      <c r="A477" s="1" t="s">
        <v>497</v>
      </c>
      <c r="B477">
        <f>HYPERLINK("https://www.suredividend.com/sure-analysis-LUMN/","Lumen Technologies Inc")</f>
        <v>0</v>
      </c>
      <c r="C477">
        <v>13.95</v>
      </c>
      <c r="D477">
        <v>17</v>
      </c>
      <c r="E477">
        <v>0.8205882352941176</v>
      </c>
      <c r="F477">
        <v>0.07168458781362008</v>
      </c>
      <c r="G477">
        <v>0.04033915145250644</v>
      </c>
      <c r="H477">
        <v>0.013</v>
      </c>
      <c r="I477">
        <v>0.1064599597571221</v>
      </c>
      <c r="J477" t="s">
        <v>514</v>
      </c>
      <c r="K477" t="s">
        <v>776</v>
      </c>
      <c r="L477">
        <v>1.92</v>
      </c>
      <c r="M477">
        <v>1</v>
      </c>
      <c r="N477">
        <v>0.5208333333333334</v>
      </c>
      <c r="O477">
        <v>0</v>
      </c>
      <c r="P477">
        <v>0</v>
      </c>
      <c r="Q477">
        <v>0.60282096489822</v>
      </c>
      <c r="R477" t="s">
        <v>779</v>
      </c>
      <c r="S477" t="s">
        <v>783</v>
      </c>
      <c r="T477">
        <v>14334.518324</v>
      </c>
      <c r="U477" s="2">
        <v>44508</v>
      </c>
      <c r="V477" t="s">
        <v>801</v>
      </c>
    </row>
    <row r="478" spans="1:22">
      <c r="A478" s="1" t="s">
        <v>498</v>
      </c>
      <c r="B478">
        <f>HYPERLINK("https://www.suredividend.com/sure-analysis-IMBBY/","Imperial Brands Plc")</f>
        <v>0</v>
      </c>
      <c r="C478">
        <v>21.01</v>
      </c>
      <c r="D478">
        <v>22</v>
      </c>
      <c r="E478">
        <v>0.9550000000000001</v>
      </c>
      <c r="F478">
        <v>0.08757734412184674</v>
      </c>
      <c r="G478">
        <v>0.009251319039511818</v>
      </c>
      <c r="H478">
        <v>0.03</v>
      </c>
      <c r="I478">
        <v>0.1055815196072241</v>
      </c>
      <c r="J478" t="s">
        <v>514</v>
      </c>
      <c r="K478" t="s">
        <v>776</v>
      </c>
      <c r="L478">
        <v>3.46</v>
      </c>
      <c r="M478">
        <v>1.84</v>
      </c>
      <c r="N478">
        <v>0.5317919075144509</v>
      </c>
      <c r="O478">
        <v>0</v>
      </c>
      <c r="P478">
        <v>0</v>
      </c>
      <c r="Q478">
        <v>0.334323602038938</v>
      </c>
      <c r="R478" t="s">
        <v>779</v>
      </c>
      <c r="S478" t="s">
        <v>789</v>
      </c>
      <c r="T478">
        <v>19893.498283</v>
      </c>
      <c r="U478" s="2">
        <v>44335</v>
      </c>
      <c r="V478" t="s">
        <v>795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19.97</v>
      </c>
      <c r="D479">
        <v>19.95</v>
      </c>
      <c r="E479">
        <v>1.001002506265664</v>
      </c>
      <c r="F479">
        <v>0.04506760140210316</v>
      </c>
      <c r="G479">
        <v>-0.0002003807394675983</v>
      </c>
      <c r="H479">
        <v>0.065</v>
      </c>
      <c r="I479">
        <v>0.1047672092768051</v>
      </c>
      <c r="J479" t="s">
        <v>514</v>
      </c>
      <c r="K479" t="s">
        <v>776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0.302406350781443</v>
      </c>
      <c r="R479" t="s">
        <v>779</v>
      </c>
      <c r="S479" t="s">
        <v>790</v>
      </c>
      <c r="T479">
        <v>38749.873084</v>
      </c>
      <c r="U479" s="2">
        <v>44511</v>
      </c>
      <c r="V479" t="s">
        <v>794</v>
      </c>
    </row>
    <row r="480" spans="1:22">
      <c r="A480" s="1" t="s">
        <v>500</v>
      </c>
      <c r="B480">
        <f>HYPERLINK("https://www.suredividend.com/sure-analysis-BP/","BP plc")</f>
        <v>0</v>
      </c>
      <c r="C480">
        <v>27.42</v>
      </c>
      <c r="D480">
        <v>38</v>
      </c>
      <c r="E480">
        <v>0.7215789473684211</v>
      </c>
      <c r="F480">
        <v>0.04704595185995623</v>
      </c>
      <c r="G480">
        <v>0.06743940081024657</v>
      </c>
      <c r="H480">
        <v>0</v>
      </c>
      <c r="I480">
        <v>0.1044826220418908</v>
      </c>
      <c r="J480" t="s">
        <v>514</v>
      </c>
      <c r="K480" t="s">
        <v>370</v>
      </c>
      <c r="L480">
        <v>3.2</v>
      </c>
      <c r="M480">
        <v>1.29</v>
      </c>
      <c r="N480">
        <v>0.403125</v>
      </c>
      <c r="O480">
        <v>0</v>
      </c>
      <c r="P480">
        <v>0.03062413800126618</v>
      </c>
      <c r="Q480">
        <v>0.6200286090158611</v>
      </c>
      <c r="R480" t="s">
        <v>779</v>
      </c>
      <c r="S480" t="s">
        <v>792</v>
      </c>
      <c r="T480">
        <v>93749.95792299999</v>
      </c>
      <c r="U480" s="2">
        <v>44425</v>
      </c>
      <c r="V480" t="s">
        <v>802</v>
      </c>
    </row>
    <row r="481" spans="1:22">
      <c r="A481" s="1" t="s">
        <v>501</v>
      </c>
      <c r="B481">
        <f>HYPERLINK("https://www.suredividend.com/sure-analysis-TFC/","Truist Financial Corporation")</f>
        <v>0</v>
      </c>
      <c r="C481">
        <v>63.89</v>
      </c>
      <c r="D481">
        <v>70</v>
      </c>
      <c r="E481">
        <v>0.9127142857142857</v>
      </c>
      <c r="F481">
        <v>0.03005165127562999</v>
      </c>
      <c r="G481">
        <v>0.01843433005433592</v>
      </c>
      <c r="H481">
        <v>0.06</v>
      </c>
      <c r="I481">
        <v>0.1040720580663517</v>
      </c>
      <c r="J481" t="s">
        <v>514</v>
      </c>
      <c r="K481" t="s">
        <v>370</v>
      </c>
      <c r="L481">
        <v>5.38</v>
      </c>
      <c r="M481">
        <v>1.92</v>
      </c>
      <c r="N481">
        <v>0.3568773234200743</v>
      </c>
      <c r="O481">
        <v>10</v>
      </c>
      <c r="P481">
        <v>0.04996052445273014</v>
      </c>
      <c r="Q481">
        <v>0.37966895616983</v>
      </c>
      <c r="R481" t="s">
        <v>779</v>
      </c>
      <c r="S481" t="s">
        <v>790</v>
      </c>
      <c r="T481">
        <v>86420.877393</v>
      </c>
      <c r="U481" s="2">
        <v>44493</v>
      </c>
      <c r="V481" t="s">
        <v>801</v>
      </c>
    </row>
    <row r="482" spans="1:22">
      <c r="A482" s="1" t="s">
        <v>502</v>
      </c>
      <c r="B482">
        <f>HYPERLINK("https://www.suredividend.com/sure-analysis-DOW/","Dow Inc")</f>
        <v>0</v>
      </c>
      <c r="C482">
        <v>58.76</v>
      </c>
      <c r="D482">
        <v>117</v>
      </c>
      <c r="E482">
        <v>0.5022222222222222</v>
      </c>
      <c r="F482">
        <v>0.04765146358066712</v>
      </c>
      <c r="G482">
        <v>0.1476800037901314</v>
      </c>
      <c r="H482">
        <v>-0.07000000000000001</v>
      </c>
      <c r="I482">
        <v>0.1017657206591225</v>
      </c>
      <c r="J482" t="s">
        <v>514</v>
      </c>
      <c r="K482" t="s">
        <v>776</v>
      </c>
      <c r="L482">
        <v>9</v>
      </c>
      <c r="M482">
        <v>2.8</v>
      </c>
      <c r="N482">
        <v>0.3111111111111111</v>
      </c>
      <c r="O482">
        <v>0</v>
      </c>
      <c r="P482">
        <v>0</v>
      </c>
      <c r="Q482">
        <v>0.164568897552008</v>
      </c>
      <c r="R482" t="s">
        <v>779</v>
      </c>
      <c r="S482" t="s">
        <v>787</v>
      </c>
      <c r="T482">
        <v>43481.931281</v>
      </c>
      <c r="U482" s="2">
        <v>44498</v>
      </c>
      <c r="V482" t="s">
        <v>798</v>
      </c>
    </row>
    <row r="483" spans="1:22">
      <c r="A483" s="1" t="s">
        <v>503</v>
      </c>
      <c r="B483">
        <f>HYPERLINK("https://www.suredividend.com/sure-analysis-PFE/","Pfizer Inc.")</f>
        <v>0</v>
      </c>
      <c r="C483">
        <v>49.02</v>
      </c>
      <c r="D483">
        <v>56</v>
      </c>
      <c r="E483">
        <v>0.8753571428571429</v>
      </c>
      <c r="F483">
        <v>0.03182374541003672</v>
      </c>
      <c r="G483">
        <v>0.02698226548641602</v>
      </c>
      <c r="H483">
        <v>0.05</v>
      </c>
      <c r="I483">
        <v>0.101564349051382</v>
      </c>
      <c r="J483" t="s">
        <v>514</v>
      </c>
      <c r="K483" t="s">
        <v>370</v>
      </c>
      <c r="L483">
        <v>4.15</v>
      </c>
      <c r="M483">
        <v>1.56</v>
      </c>
      <c r="N483">
        <v>0.3759036144578313</v>
      </c>
      <c r="O483">
        <v>12</v>
      </c>
      <c r="P483">
        <v>0.01005227214699711</v>
      </c>
      <c r="Q483">
        <v>0.253843706923974</v>
      </c>
      <c r="R483" t="s">
        <v>779</v>
      </c>
      <c r="S483" t="s">
        <v>784</v>
      </c>
      <c r="T483">
        <v>265196.359239</v>
      </c>
      <c r="U483" s="2">
        <v>44504</v>
      </c>
      <c r="V483" t="s">
        <v>800</v>
      </c>
    </row>
    <row r="484" spans="1:22">
      <c r="A484" s="1" t="s">
        <v>504</v>
      </c>
      <c r="B484">
        <f>HYPERLINK("https://www.suredividend.com/sure-analysis-DRI/","Darden Restaurants, Inc.")</f>
        <v>0</v>
      </c>
      <c r="C484">
        <v>151.69</v>
      </c>
      <c r="D484">
        <v>148</v>
      </c>
      <c r="E484">
        <v>1.024932432432432</v>
      </c>
      <c r="F484">
        <v>0.0290065264684554</v>
      </c>
      <c r="G484">
        <v>-0.004913228579289552</v>
      </c>
      <c r="H484">
        <v>0.08</v>
      </c>
      <c r="I484">
        <v>0.100947408150025</v>
      </c>
      <c r="J484" t="s">
        <v>514</v>
      </c>
      <c r="K484" t="s">
        <v>514</v>
      </c>
      <c r="L484">
        <v>7.42</v>
      </c>
      <c r="M484">
        <v>4.4</v>
      </c>
      <c r="N484">
        <v>0.5929919137466307</v>
      </c>
      <c r="O484">
        <v>1</v>
      </c>
      <c r="P484">
        <v>0.08016554685867416</v>
      </c>
      <c r="Q484">
        <v>0.311832797590294</v>
      </c>
      <c r="R484" t="s">
        <v>779</v>
      </c>
      <c r="S484" t="s">
        <v>788</v>
      </c>
      <c r="T484">
        <v>20195.844317</v>
      </c>
      <c r="U484" s="2">
        <v>44464</v>
      </c>
      <c r="V484" t="s">
        <v>796</v>
      </c>
    </row>
    <row r="485" spans="1:22">
      <c r="A485" s="1" t="s">
        <v>505</v>
      </c>
      <c r="B485">
        <f>HYPERLINK("https://www.suredividend.com/sure-analysis-AZN/","Astrazeneca plc")</f>
        <v>0</v>
      </c>
      <c r="C485">
        <v>63.14</v>
      </c>
      <c r="D485">
        <v>78</v>
      </c>
      <c r="E485">
        <v>0.8094871794871795</v>
      </c>
      <c r="F485">
        <v>0.02217294900221729</v>
      </c>
      <c r="G485">
        <v>0.04317700449688644</v>
      </c>
      <c r="H485">
        <v>0.04</v>
      </c>
      <c r="I485">
        <v>0.1004568196870783</v>
      </c>
      <c r="J485" t="s">
        <v>514</v>
      </c>
      <c r="K485" t="s">
        <v>514</v>
      </c>
      <c r="L485">
        <v>5.19</v>
      </c>
      <c r="M485">
        <v>1.4</v>
      </c>
      <c r="N485">
        <v>0.2697495183044316</v>
      </c>
      <c r="O485">
        <v>0</v>
      </c>
      <c r="P485">
        <v>0</v>
      </c>
      <c r="Q485">
        <v>0.191933631918728</v>
      </c>
      <c r="R485" t="s">
        <v>779</v>
      </c>
      <c r="S485" t="s">
        <v>784</v>
      </c>
      <c r="T485">
        <v>194259.162577</v>
      </c>
      <c r="U485" s="2">
        <v>44409</v>
      </c>
      <c r="V485" t="s">
        <v>795</v>
      </c>
    </row>
    <row r="486" spans="1:22">
      <c r="A486" s="1" t="s">
        <v>506</v>
      </c>
      <c r="B486">
        <f>HYPERLINK("https://www.suredividend.com/sure-analysis-RIO/","Rio Tinto plc")</f>
        <v>0</v>
      </c>
      <c r="C486">
        <v>60.34</v>
      </c>
      <c r="D486">
        <v>73</v>
      </c>
      <c r="E486">
        <v>0.8265753424657535</v>
      </c>
      <c r="F486">
        <v>0.09297315213788532</v>
      </c>
      <c r="G486">
        <v>0.03882767470394288</v>
      </c>
      <c r="H486">
        <v>0</v>
      </c>
      <c r="I486">
        <v>0.09984506981391816</v>
      </c>
      <c r="J486" t="s">
        <v>514</v>
      </c>
      <c r="K486" t="s">
        <v>776</v>
      </c>
      <c r="L486">
        <v>16.5</v>
      </c>
      <c r="M486">
        <v>5.61</v>
      </c>
      <c r="N486">
        <v>0.34</v>
      </c>
      <c r="O486">
        <v>5</v>
      </c>
      <c r="P486">
        <v>-0.05003988006497606</v>
      </c>
      <c r="Q486">
        <v>0.079664846710451</v>
      </c>
      <c r="R486" t="s">
        <v>779</v>
      </c>
      <c r="S486" t="s">
        <v>787</v>
      </c>
      <c r="T486">
        <v>100088.138035</v>
      </c>
      <c r="U486" s="2">
        <v>44439</v>
      </c>
      <c r="V486" t="s">
        <v>802</v>
      </c>
    </row>
    <row r="487" spans="1:22">
      <c r="A487" s="1" t="s">
        <v>507</v>
      </c>
      <c r="B487">
        <f>HYPERLINK("https://www.suredividend.com/sure-analysis-WSBC/","Wesbanco, Inc.")</f>
        <v>0</v>
      </c>
      <c r="C487">
        <v>35.75</v>
      </c>
      <c r="D487">
        <v>41</v>
      </c>
      <c r="E487">
        <v>0.8719512195121951</v>
      </c>
      <c r="F487">
        <v>0.03692307692307693</v>
      </c>
      <c r="G487">
        <v>0.0277833127097793</v>
      </c>
      <c r="H487">
        <v>0.04</v>
      </c>
      <c r="I487">
        <v>0.09981784398418059</v>
      </c>
      <c r="J487" t="s">
        <v>514</v>
      </c>
      <c r="K487" t="s">
        <v>370</v>
      </c>
      <c r="L487">
        <v>3.42</v>
      </c>
      <c r="M487">
        <v>1.32</v>
      </c>
      <c r="N487">
        <v>0.3859649122807018</v>
      </c>
      <c r="O487">
        <v>10</v>
      </c>
      <c r="P487">
        <v>0.04941452284458392</v>
      </c>
      <c r="Q487">
        <v>0.3515306103112</v>
      </c>
      <c r="R487" t="s">
        <v>779</v>
      </c>
      <c r="S487" t="s">
        <v>790</v>
      </c>
      <c r="T487">
        <v>2254.799131</v>
      </c>
      <c r="U487" s="2">
        <v>44498</v>
      </c>
      <c r="V487" t="s">
        <v>801</v>
      </c>
    </row>
    <row r="488" spans="1:22">
      <c r="A488" s="1" t="s">
        <v>508</v>
      </c>
      <c r="B488">
        <f>HYPERLINK("https://www.suredividend.com/sure-analysis-OPI/","Office Properties Income Trust")</f>
        <v>0</v>
      </c>
      <c r="C488">
        <v>27.07</v>
      </c>
      <c r="D488">
        <v>28</v>
      </c>
      <c r="E488">
        <v>0.9667857142857142</v>
      </c>
      <c r="F488">
        <v>0.08127077946065756</v>
      </c>
      <c r="G488">
        <v>0.006778552399034021</v>
      </c>
      <c r="H488">
        <v>0.03</v>
      </c>
      <c r="I488">
        <v>0.09930864138063278</v>
      </c>
      <c r="J488" t="s">
        <v>514</v>
      </c>
      <c r="K488" t="s">
        <v>776</v>
      </c>
      <c r="L488">
        <v>4.7</v>
      </c>
      <c r="M488">
        <v>2.2</v>
      </c>
      <c r="N488">
        <v>0.4680851063829787</v>
      </c>
      <c r="O488">
        <v>0</v>
      </c>
      <c r="P488">
        <v>0</v>
      </c>
      <c r="Q488">
        <v>0.4321265658951841</v>
      </c>
      <c r="R488" t="s">
        <v>781</v>
      </c>
      <c r="S488" t="s">
        <v>793</v>
      </c>
      <c r="T488">
        <v>1318.146601</v>
      </c>
      <c r="U488" s="2">
        <v>44510</v>
      </c>
      <c r="V488" t="s">
        <v>802</v>
      </c>
    </row>
    <row r="489" spans="1:22">
      <c r="A489" s="1" t="s">
        <v>509</v>
      </c>
      <c r="B489">
        <f>HYPERLINK("https://www.suredividend.com/sure-analysis-MKTX/","MarketAxess Holdings Inc.")</f>
        <v>0</v>
      </c>
      <c r="C489">
        <v>388.74</v>
      </c>
      <c r="D489">
        <v>300</v>
      </c>
      <c r="E489">
        <v>1.2958</v>
      </c>
      <c r="F489">
        <v>0.006791171477079796</v>
      </c>
      <c r="G489">
        <v>-0.05050560609441168</v>
      </c>
      <c r="H489">
        <v>0.15</v>
      </c>
      <c r="I489">
        <v>0.09922844582191348</v>
      </c>
      <c r="J489" t="s">
        <v>514</v>
      </c>
      <c r="K489" t="s">
        <v>777</v>
      </c>
      <c r="L489">
        <v>7.15</v>
      </c>
      <c r="M489">
        <v>2.64</v>
      </c>
      <c r="N489">
        <v>0.3692307692307693</v>
      </c>
      <c r="O489">
        <v>11</v>
      </c>
      <c r="P489">
        <v>0.1500007374307972</v>
      </c>
      <c r="Q489">
        <v>-0.271959487410139</v>
      </c>
      <c r="R489" t="s">
        <v>779</v>
      </c>
      <c r="S489" t="s">
        <v>790</v>
      </c>
      <c r="T489">
        <v>14723.473953</v>
      </c>
      <c r="U489" s="2">
        <v>44494</v>
      </c>
      <c r="V489" t="s">
        <v>801</v>
      </c>
    </row>
    <row r="490" spans="1:22">
      <c r="A490" s="1" t="s">
        <v>510</v>
      </c>
      <c r="B490">
        <f>HYPERLINK("https://www.suredividend.com/sure-analysis-XRX/","Xerox Holdings Corp")</f>
        <v>0</v>
      </c>
      <c r="C490">
        <v>19.76</v>
      </c>
      <c r="D490">
        <v>19</v>
      </c>
      <c r="E490">
        <v>1.04</v>
      </c>
      <c r="F490">
        <v>0.05060728744939271</v>
      </c>
      <c r="G490">
        <v>-0.007813457628780496</v>
      </c>
      <c r="H490">
        <v>0.07000000000000001</v>
      </c>
      <c r="I490">
        <v>0.09878618701702502</v>
      </c>
      <c r="J490" t="s">
        <v>514</v>
      </c>
      <c r="K490" t="s">
        <v>370</v>
      </c>
      <c r="L490">
        <v>1.85</v>
      </c>
      <c r="M490">
        <v>1</v>
      </c>
      <c r="N490">
        <v>0.5405405405405405</v>
      </c>
      <c r="O490">
        <v>0</v>
      </c>
      <c r="P490">
        <v>0</v>
      </c>
      <c r="Q490">
        <v>-0.034924460728811</v>
      </c>
      <c r="R490" t="s">
        <v>779</v>
      </c>
      <c r="S490" t="s">
        <v>785</v>
      </c>
      <c r="T490">
        <v>3545.249432</v>
      </c>
      <c r="U490" s="2">
        <v>44407</v>
      </c>
      <c r="V490" t="s">
        <v>798</v>
      </c>
    </row>
    <row r="491" spans="1:22">
      <c r="A491" s="1" t="s">
        <v>511</v>
      </c>
      <c r="B491">
        <f>HYPERLINK("https://www.suredividend.com/sure-analysis-SAFE/","Safehold Inc")</f>
        <v>0</v>
      </c>
      <c r="C491">
        <v>74.06999999999999</v>
      </c>
      <c r="D491">
        <v>65</v>
      </c>
      <c r="E491">
        <v>1.139538461538461</v>
      </c>
      <c r="F491">
        <v>0.009180504927771029</v>
      </c>
      <c r="G491">
        <v>-0.02578636774497989</v>
      </c>
      <c r="H491">
        <v>0.12</v>
      </c>
      <c r="I491">
        <v>0.09870062033134896</v>
      </c>
      <c r="J491" t="s">
        <v>514</v>
      </c>
      <c r="K491" t="s">
        <v>777</v>
      </c>
      <c r="L491">
        <v>1.48</v>
      </c>
      <c r="M491">
        <v>0.68</v>
      </c>
      <c r="N491">
        <v>0.4594594594594595</v>
      </c>
      <c r="O491">
        <v>3</v>
      </c>
      <c r="P491">
        <v>0.0576615571948691</v>
      </c>
      <c r="Q491">
        <v>0.171313448769404</v>
      </c>
      <c r="R491" t="s">
        <v>781</v>
      </c>
      <c r="S491" t="s">
        <v>793</v>
      </c>
      <c r="T491">
        <v>4207.488804</v>
      </c>
      <c r="U491" s="2">
        <v>44492</v>
      </c>
      <c r="V491" t="s">
        <v>803</v>
      </c>
    </row>
    <row r="492" spans="1:22">
      <c r="A492" s="1" t="s">
        <v>512</v>
      </c>
      <c r="B492">
        <f>HYPERLINK("https://www.suredividend.com/sure-analysis-RDS.B/","Royal Dutch Shell Plc")</f>
        <v>0</v>
      </c>
      <c r="C492">
        <v>44.42</v>
      </c>
      <c r="D492">
        <v>56</v>
      </c>
      <c r="E492">
        <v>0.7932142857142858</v>
      </c>
      <c r="F492">
        <v>0.04322377307519135</v>
      </c>
      <c r="G492">
        <v>0.04742248958535678</v>
      </c>
      <c r="H492">
        <v>0.01</v>
      </c>
      <c r="I492">
        <v>0.09831100522027381</v>
      </c>
      <c r="J492" t="s">
        <v>514</v>
      </c>
      <c r="K492" t="s">
        <v>370</v>
      </c>
      <c r="L492">
        <v>4.7</v>
      </c>
      <c r="M492">
        <v>1.92</v>
      </c>
      <c r="N492">
        <v>0.4085106382978723</v>
      </c>
      <c r="O492">
        <v>0</v>
      </c>
      <c r="P492">
        <v>0.07914802001878241</v>
      </c>
      <c r="Q492">
        <v>0.6708908630087671</v>
      </c>
      <c r="R492" t="s">
        <v>779</v>
      </c>
      <c r="S492" t="s">
        <v>792</v>
      </c>
      <c r="T492">
        <v>179560.106876</v>
      </c>
      <c r="U492" s="2">
        <v>44502</v>
      </c>
      <c r="V492" t="s">
        <v>802</v>
      </c>
    </row>
    <row r="493" spans="1:22">
      <c r="A493" s="1" t="s">
        <v>513</v>
      </c>
      <c r="B493">
        <f>HYPERLINK("https://www.suredividend.com/sure-analysis-BAYRY/","Bayer AG")</f>
        <v>0</v>
      </c>
      <c r="C493">
        <v>14.77</v>
      </c>
      <c r="D493">
        <v>17</v>
      </c>
      <c r="E493">
        <v>0.8688235294117647</v>
      </c>
      <c r="F493">
        <v>0.04062288422477996</v>
      </c>
      <c r="G493">
        <v>0.02852223578473567</v>
      </c>
      <c r="H493">
        <v>0.035</v>
      </c>
      <c r="I493">
        <v>0.09798794414652234</v>
      </c>
      <c r="J493" t="s">
        <v>514</v>
      </c>
      <c r="K493" t="s">
        <v>370</v>
      </c>
      <c r="L493">
        <v>1.92</v>
      </c>
      <c r="M493">
        <v>0.6</v>
      </c>
      <c r="N493">
        <v>0.3125</v>
      </c>
      <c r="O493">
        <v>0</v>
      </c>
      <c r="P493">
        <v>0.04000235313991807</v>
      </c>
      <c r="Q493">
        <v>0.09116124260355001</v>
      </c>
      <c r="R493" t="s">
        <v>779</v>
      </c>
      <c r="S493" t="s">
        <v>784</v>
      </c>
      <c r="T493">
        <v>57972.845079</v>
      </c>
      <c r="U493" s="2">
        <v>44434</v>
      </c>
      <c r="V493" t="s">
        <v>797</v>
      </c>
    </row>
    <row r="494" spans="1:22">
      <c r="A494" s="1" t="s">
        <v>514</v>
      </c>
      <c r="B494">
        <f>HYPERLINK("https://www.suredividend.com/sure-analysis-D/","Dominion Energy Inc")</f>
        <v>0</v>
      </c>
      <c r="C494">
        <v>75.68000000000001</v>
      </c>
      <c r="D494">
        <v>77</v>
      </c>
      <c r="E494">
        <v>0.982857142857143</v>
      </c>
      <c r="F494">
        <v>0.03329809725158562</v>
      </c>
      <c r="G494">
        <v>0.00346428623887074</v>
      </c>
      <c r="H494">
        <v>0.065</v>
      </c>
      <c r="I494">
        <v>0.09757896124925147</v>
      </c>
      <c r="J494" t="s">
        <v>514</v>
      </c>
      <c r="K494" t="s">
        <v>514</v>
      </c>
      <c r="L494">
        <v>3.85</v>
      </c>
      <c r="M494">
        <v>2.52</v>
      </c>
      <c r="N494">
        <v>0.6545454545454545</v>
      </c>
      <c r="O494">
        <v>16</v>
      </c>
      <c r="P494">
        <v>0.05985358218414349</v>
      </c>
      <c r="Q494">
        <v>-0.08233061937146101</v>
      </c>
      <c r="R494" t="s">
        <v>779</v>
      </c>
      <c r="S494" t="s">
        <v>791</v>
      </c>
      <c r="T494">
        <v>60296.984624</v>
      </c>
      <c r="U494" s="2">
        <v>44425</v>
      </c>
      <c r="V494" t="s">
        <v>804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34.59</v>
      </c>
      <c r="D495">
        <v>39</v>
      </c>
      <c r="E495">
        <v>0.886923076923077</v>
      </c>
      <c r="F495">
        <v>0.03931772188493785</v>
      </c>
      <c r="G495">
        <v>0.02428970806533881</v>
      </c>
      <c r="H495">
        <v>0.04</v>
      </c>
      <c r="I495">
        <v>0.09502067096036426</v>
      </c>
      <c r="J495" t="s">
        <v>514</v>
      </c>
      <c r="K495" t="s">
        <v>370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0.162864885375706</v>
      </c>
      <c r="R495" t="s">
        <v>779</v>
      </c>
      <c r="S495" t="s">
        <v>790</v>
      </c>
      <c r="T495">
        <v>665.53669</v>
      </c>
      <c r="U495" s="2">
        <v>44493</v>
      </c>
      <c r="V495" t="s">
        <v>801</v>
      </c>
    </row>
    <row r="496" spans="1:22">
      <c r="A496" s="1" t="s">
        <v>516</v>
      </c>
      <c r="B496">
        <f>HYPERLINK("https://www.suredividend.com/sure-analysis-HAS/","Hasbro, Inc.")</f>
        <v>0</v>
      </c>
      <c r="C496">
        <v>97.65000000000001</v>
      </c>
      <c r="D496">
        <v>94</v>
      </c>
      <c r="E496">
        <v>1.038829787234043</v>
      </c>
      <c r="F496">
        <v>0.02785458269329237</v>
      </c>
      <c r="G496">
        <v>-0.007590024192276612</v>
      </c>
      <c r="H496">
        <v>0.08</v>
      </c>
      <c r="I496">
        <v>0.09455460099208834</v>
      </c>
      <c r="J496" t="s">
        <v>514</v>
      </c>
      <c r="K496" t="s">
        <v>514</v>
      </c>
      <c r="L496">
        <v>4.7</v>
      </c>
      <c r="M496">
        <v>2.72</v>
      </c>
      <c r="N496">
        <v>0.5787234042553192</v>
      </c>
      <c r="O496">
        <v>16</v>
      </c>
      <c r="P496">
        <v>0.03941506521508265</v>
      </c>
      <c r="Q496">
        <v>0.175808970781797</v>
      </c>
      <c r="R496" t="s">
        <v>779</v>
      </c>
      <c r="S496" t="s">
        <v>788</v>
      </c>
      <c r="T496">
        <v>13469.135902</v>
      </c>
      <c r="U496" s="2">
        <v>44404</v>
      </c>
      <c r="V496" t="s">
        <v>798</v>
      </c>
    </row>
    <row r="497" spans="1:22">
      <c r="A497" s="1" t="s">
        <v>517</v>
      </c>
      <c r="B497">
        <f>HYPERLINK("https://www.suredividend.com/sure-analysis-PGRE/","Paramount Group Inc")</f>
        <v>0</v>
      </c>
      <c r="C497">
        <v>9.24</v>
      </c>
      <c r="D497">
        <v>11</v>
      </c>
      <c r="E497">
        <v>0.84</v>
      </c>
      <c r="F497">
        <v>0.0303030303030303</v>
      </c>
      <c r="G497">
        <v>0.03548578845590522</v>
      </c>
      <c r="H497">
        <v>0.03</v>
      </c>
      <c r="I497">
        <v>0.08946261766481278</v>
      </c>
      <c r="J497" t="s">
        <v>514</v>
      </c>
      <c r="K497" t="s">
        <v>514</v>
      </c>
      <c r="L497">
        <v>0.91</v>
      </c>
      <c r="M497">
        <v>0.28</v>
      </c>
      <c r="N497">
        <v>0.3076923076923077</v>
      </c>
      <c r="O497">
        <v>0</v>
      </c>
      <c r="P497">
        <v>0.007042949693310208</v>
      </c>
      <c r="Q497">
        <v>0.268568154847158</v>
      </c>
      <c r="R497" t="s">
        <v>781</v>
      </c>
      <c r="S497" t="s">
        <v>793</v>
      </c>
      <c r="T497">
        <v>2036.294576</v>
      </c>
      <c r="U497" s="2">
        <v>44498</v>
      </c>
      <c r="V497" t="s">
        <v>801</v>
      </c>
    </row>
    <row r="498" spans="1:22">
      <c r="A498" s="1" t="s">
        <v>518</v>
      </c>
      <c r="B498">
        <f>HYPERLINK("https://www.suredividend.com/sure-analysis-CAG/","Conagra Brands Inc")</f>
        <v>0</v>
      </c>
      <c r="C498">
        <v>32.48</v>
      </c>
      <c r="D498">
        <v>35</v>
      </c>
      <c r="E498">
        <v>0.9279999999999999</v>
      </c>
      <c r="F498">
        <v>0.03848522167487685</v>
      </c>
      <c r="G498">
        <v>0.01505693979367173</v>
      </c>
      <c r="H498">
        <v>0.04</v>
      </c>
      <c r="I498">
        <v>0.08845681097860125</v>
      </c>
      <c r="J498" t="s">
        <v>514</v>
      </c>
      <c r="K498" t="s">
        <v>370</v>
      </c>
      <c r="L498">
        <v>2.5</v>
      </c>
      <c r="M498">
        <v>1.25</v>
      </c>
      <c r="N498">
        <v>0.5</v>
      </c>
      <c r="O498">
        <v>2</v>
      </c>
      <c r="P498">
        <v>0.03988835529073098</v>
      </c>
      <c r="Q498">
        <v>-0.020655324246154</v>
      </c>
      <c r="R498" t="s">
        <v>779</v>
      </c>
      <c r="S498" t="s">
        <v>789</v>
      </c>
      <c r="T498">
        <v>15609.105474</v>
      </c>
      <c r="U498" s="2">
        <v>44476</v>
      </c>
      <c r="V498" t="s">
        <v>799</v>
      </c>
    </row>
    <row r="499" spans="1:22">
      <c r="A499" s="1" t="s">
        <v>519</v>
      </c>
      <c r="B499">
        <f>HYPERLINK("https://www.suredividend.com/sure-analysis-WASH/","Washington Trust Bancorp, Inc.")</f>
        <v>0</v>
      </c>
      <c r="C499">
        <v>57.68</v>
      </c>
      <c r="D499">
        <v>58</v>
      </c>
      <c r="E499">
        <v>0.9944827586206897</v>
      </c>
      <c r="F499">
        <v>0.03606102635228849</v>
      </c>
      <c r="G499">
        <v>0.001107115914812162</v>
      </c>
      <c r="H499">
        <v>0.05</v>
      </c>
      <c r="I499">
        <v>0.08336440110184395</v>
      </c>
      <c r="J499" t="s">
        <v>514</v>
      </c>
      <c r="K499" t="s">
        <v>370</v>
      </c>
      <c r="L499">
        <v>4.14</v>
      </c>
      <c r="M499">
        <v>2.08</v>
      </c>
      <c r="N499">
        <v>0.5024154589371981</v>
      </c>
      <c r="O499">
        <v>10</v>
      </c>
      <c r="P499">
        <v>0.04963065931551602</v>
      </c>
      <c r="Q499">
        <v>0.6101080404612781</v>
      </c>
      <c r="R499" t="s">
        <v>779</v>
      </c>
      <c r="S499" t="s">
        <v>790</v>
      </c>
      <c r="T499">
        <v>996.509356</v>
      </c>
      <c r="U499" s="2">
        <v>44495</v>
      </c>
      <c r="V499" t="s">
        <v>795</v>
      </c>
    </row>
    <row r="500" spans="1:22">
      <c r="A500" s="1" t="s">
        <v>520</v>
      </c>
      <c r="B500">
        <f>HYPERLINK("https://www.suredividend.com/sure-analysis-FRFHF/","Fairfax Financial Holdings Ltd.")</f>
        <v>0</v>
      </c>
      <c r="C500">
        <v>425.03</v>
      </c>
      <c r="D500">
        <v>555</v>
      </c>
      <c r="E500">
        <v>0.7658198198198197</v>
      </c>
      <c r="F500">
        <v>0.02352775098228361</v>
      </c>
      <c r="G500">
        <v>0.05481107157496101</v>
      </c>
      <c r="H500">
        <v>0.01</v>
      </c>
      <c r="I500">
        <v>0.08302736803681321</v>
      </c>
      <c r="J500" t="s">
        <v>514</v>
      </c>
      <c r="K500" t="s">
        <v>514</v>
      </c>
      <c r="L500">
        <v>32</v>
      </c>
      <c r="M500">
        <v>10</v>
      </c>
      <c r="N500">
        <v>0.3125</v>
      </c>
      <c r="O500">
        <v>0</v>
      </c>
      <c r="P500">
        <v>0</v>
      </c>
      <c r="Q500">
        <v>0.379284504105304</v>
      </c>
      <c r="R500" t="s">
        <v>779</v>
      </c>
      <c r="S500" t="s">
        <v>790</v>
      </c>
      <c r="T500">
        <v>11650.199451</v>
      </c>
      <c r="U500" s="2">
        <v>44428</v>
      </c>
      <c r="V500" t="s">
        <v>802</v>
      </c>
    </row>
    <row r="501" spans="1:22">
      <c r="A501" s="1" t="s">
        <v>521</v>
      </c>
      <c r="B501">
        <f>HYPERLINK("https://www.suredividend.com/sure-analysis-NTR/","Nutrien Ltd")</f>
        <v>0</v>
      </c>
      <c r="C501">
        <v>67.68000000000001</v>
      </c>
      <c r="D501">
        <v>82</v>
      </c>
      <c r="E501">
        <v>0.8253658536585367</v>
      </c>
      <c r="F501">
        <v>0.02718676122931442</v>
      </c>
      <c r="G501">
        <v>0.03913195543155212</v>
      </c>
      <c r="H501">
        <v>0.02</v>
      </c>
      <c r="I501">
        <v>0.08184652872847997</v>
      </c>
      <c r="J501" t="s">
        <v>514</v>
      </c>
      <c r="K501" t="s">
        <v>514</v>
      </c>
      <c r="L501">
        <v>4.85</v>
      </c>
      <c r="M501">
        <v>1.84</v>
      </c>
      <c r="N501">
        <v>0.3793814432989691</v>
      </c>
      <c r="O501">
        <v>3</v>
      </c>
      <c r="P501">
        <v>0.01984845658885503</v>
      </c>
      <c r="Q501">
        <v>0.7316684781234991</v>
      </c>
      <c r="R501" t="s">
        <v>779</v>
      </c>
      <c r="S501" t="s">
        <v>787</v>
      </c>
      <c r="T501">
        <v>39125.450165</v>
      </c>
      <c r="U501" s="2">
        <v>44445</v>
      </c>
      <c r="V501" t="s">
        <v>796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16.7</v>
      </c>
      <c r="D502">
        <v>20.3</v>
      </c>
      <c r="E502">
        <v>0.8226600985221674</v>
      </c>
      <c r="F502">
        <v>0.06467065868263473</v>
      </c>
      <c r="G502">
        <v>0.03981460550513449</v>
      </c>
      <c r="H502">
        <v>-0.012</v>
      </c>
      <c r="I502">
        <v>0.08159164683477038</v>
      </c>
      <c r="J502" t="s">
        <v>514</v>
      </c>
      <c r="K502" t="s">
        <v>776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0.458613363395915</v>
      </c>
      <c r="R502" t="s">
        <v>779</v>
      </c>
      <c r="S502" t="s">
        <v>792</v>
      </c>
      <c r="T502">
        <v>38122.879806</v>
      </c>
      <c r="U502" s="2">
        <v>44491</v>
      </c>
      <c r="V502" t="s">
        <v>803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24.17</v>
      </c>
      <c r="D503">
        <v>26</v>
      </c>
      <c r="E503">
        <v>0.9296153846153847</v>
      </c>
      <c r="F503">
        <v>0.02813405047579644</v>
      </c>
      <c r="G503">
        <v>0.01470392320136948</v>
      </c>
      <c r="H503">
        <v>0.04</v>
      </c>
      <c r="I503">
        <v>0.08042911514441209</v>
      </c>
      <c r="J503" t="s">
        <v>514</v>
      </c>
      <c r="K503" t="s">
        <v>514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0.651569126378286</v>
      </c>
      <c r="R503" t="s">
        <v>779</v>
      </c>
      <c r="S503" t="s">
        <v>790</v>
      </c>
      <c r="T503">
        <v>23202.899044</v>
      </c>
      <c r="U503" s="2">
        <v>44491</v>
      </c>
      <c r="V503" t="s">
        <v>797</v>
      </c>
    </row>
    <row r="504" spans="1:22">
      <c r="A504" s="1" t="s">
        <v>524</v>
      </c>
      <c r="B504">
        <f>HYPERLINK("https://www.suredividend.com/sure-analysis-NGG/","National Grid Plc")</f>
        <v>0</v>
      </c>
      <c r="C504">
        <v>65.01000000000001</v>
      </c>
      <c r="D504">
        <v>62</v>
      </c>
      <c r="E504">
        <v>1.048548387096774</v>
      </c>
      <c r="F504">
        <v>0.05522227349638516</v>
      </c>
      <c r="G504">
        <v>-0.009436537613349394</v>
      </c>
      <c r="H504">
        <v>0.04</v>
      </c>
      <c r="I504">
        <v>0.0803167558663922</v>
      </c>
      <c r="J504" t="s">
        <v>514</v>
      </c>
      <c r="K504" t="s">
        <v>776</v>
      </c>
      <c r="L504">
        <v>4.16</v>
      </c>
      <c r="M504">
        <v>3.59</v>
      </c>
      <c r="N504">
        <v>0.8629807692307692</v>
      </c>
      <c r="O504">
        <v>0</v>
      </c>
      <c r="P504">
        <v>0.0401055114467892</v>
      </c>
      <c r="Q504">
        <v>0.10202875036952</v>
      </c>
      <c r="R504" t="s">
        <v>779</v>
      </c>
      <c r="S504" t="s">
        <v>791</v>
      </c>
      <c r="T504">
        <v>46384.101314</v>
      </c>
      <c r="U504" s="2">
        <v>44430</v>
      </c>
      <c r="V504" t="s">
        <v>800</v>
      </c>
    </row>
    <row r="505" spans="1:22">
      <c r="A505" s="1" t="s">
        <v>525</v>
      </c>
      <c r="B505">
        <f>HYPERLINK("https://www.suredividend.com/sure-analysis-PHG/","Koninklijke Philips N.V.")</f>
        <v>0</v>
      </c>
      <c r="C505">
        <v>47.95</v>
      </c>
      <c r="D505">
        <v>40</v>
      </c>
      <c r="E505">
        <v>1.19875</v>
      </c>
      <c r="F505">
        <v>0.02148070907194995</v>
      </c>
      <c r="G505">
        <v>-0.03560649691715689</v>
      </c>
      <c r="H505">
        <v>0.1</v>
      </c>
      <c r="I505">
        <v>0.07969631118777598</v>
      </c>
      <c r="J505" t="s">
        <v>514</v>
      </c>
      <c r="K505" t="s">
        <v>514</v>
      </c>
      <c r="L505">
        <v>2.2</v>
      </c>
      <c r="M505">
        <v>1.03</v>
      </c>
      <c r="N505">
        <v>0.4681818181818181</v>
      </c>
      <c r="O505">
        <v>1</v>
      </c>
      <c r="P505">
        <v>0.04766208135176786</v>
      </c>
      <c r="Q505">
        <v>-0.06623307413732001</v>
      </c>
      <c r="R505" t="s">
        <v>779</v>
      </c>
      <c r="S505" t="s">
        <v>784</v>
      </c>
      <c r="T505">
        <v>44044.324502</v>
      </c>
      <c r="U505" s="2">
        <v>44491</v>
      </c>
      <c r="V505" t="s">
        <v>802</v>
      </c>
    </row>
    <row r="506" spans="1:22">
      <c r="A506" s="1" t="s">
        <v>526</v>
      </c>
      <c r="B506">
        <f>HYPERLINK("https://www.suredividend.com/sure-analysis-WMB/","Williams Cos Inc")</f>
        <v>0</v>
      </c>
      <c r="C506">
        <v>28.15</v>
      </c>
      <c r="D506">
        <v>25</v>
      </c>
      <c r="E506">
        <v>1.126</v>
      </c>
      <c r="F506">
        <v>0.05825932504440497</v>
      </c>
      <c r="G506">
        <v>-0.02345486246887929</v>
      </c>
      <c r="H506">
        <v>0.05</v>
      </c>
      <c r="I506">
        <v>0.07893725463798096</v>
      </c>
      <c r="J506" t="s">
        <v>514</v>
      </c>
      <c r="K506" t="s">
        <v>776</v>
      </c>
      <c r="L506">
        <v>3.35</v>
      </c>
      <c r="M506">
        <v>1.64</v>
      </c>
      <c r="N506">
        <v>0.4895522388059701</v>
      </c>
      <c r="O506">
        <v>4</v>
      </c>
      <c r="P506">
        <v>0.04048836820440749</v>
      </c>
      <c r="Q506">
        <v>0.575564121538784</v>
      </c>
      <c r="R506" t="s">
        <v>779</v>
      </c>
      <c r="S506" t="s">
        <v>792</v>
      </c>
      <c r="T506">
        <v>34664.800165</v>
      </c>
      <c r="U506" s="2">
        <v>44504</v>
      </c>
      <c r="V506" t="s">
        <v>802</v>
      </c>
    </row>
    <row r="507" spans="1:22">
      <c r="A507" s="1" t="s">
        <v>527</v>
      </c>
      <c r="B507">
        <f>HYPERLINK("https://www.suredividend.com/sure-analysis-SBS/","Companhia de Saneamento Basico do Estado de Sao Paulo.")</f>
        <v>0</v>
      </c>
      <c r="C507">
        <v>6.68</v>
      </c>
      <c r="D507">
        <v>6.63</v>
      </c>
      <c r="E507">
        <v>1.007541478129713</v>
      </c>
      <c r="F507">
        <v>0.03293413173652695</v>
      </c>
      <c r="G507">
        <v>-0.001501508276934516</v>
      </c>
      <c r="H507">
        <v>0.05</v>
      </c>
      <c r="I507">
        <v>0.07825257903441352</v>
      </c>
      <c r="J507" t="s">
        <v>514</v>
      </c>
      <c r="K507" t="s">
        <v>370</v>
      </c>
      <c r="L507">
        <v>0.78</v>
      </c>
      <c r="M507">
        <v>0.22</v>
      </c>
      <c r="N507">
        <v>0.282051282051282</v>
      </c>
      <c r="O507">
        <v>0</v>
      </c>
      <c r="P507">
        <v>0.04941452284458392</v>
      </c>
      <c r="Q507">
        <v>-0.213525926278466</v>
      </c>
      <c r="R507" t="s">
        <v>779</v>
      </c>
      <c r="S507" t="s">
        <v>791</v>
      </c>
      <c r="T507">
        <v>4518.000234</v>
      </c>
      <c r="U507" s="2">
        <v>44422</v>
      </c>
      <c r="V507" t="s">
        <v>794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163.97</v>
      </c>
      <c r="D508">
        <v>157</v>
      </c>
      <c r="E508">
        <v>1.044394904458599</v>
      </c>
      <c r="F508">
        <v>0.04025126547539184</v>
      </c>
      <c r="G508">
        <v>-0.008649908186242672</v>
      </c>
      <c r="H508">
        <v>0.05</v>
      </c>
      <c r="I508">
        <v>0.07796017631381247</v>
      </c>
      <c r="J508" t="s">
        <v>514</v>
      </c>
      <c r="K508" t="s">
        <v>370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1.223381547088059</v>
      </c>
      <c r="R508" t="s">
        <v>781</v>
      </c>
      <c r="S508" t="s">
        <v>793</v>
      </c>
      <c r="T508">
        <v>55039.083691</v>
      </c>
      <c r="U508" s="2">
        <v>44502</v>
      </c>
      <c r="V508" t="s">
        <v>794</v>
      </c>
    </row>
    <row r="509" spans="1:22">
      <c r="A509" s="1" t="s">
        <v>529</v>
      </c>
      <c r="B509">
        <f>HYPERLINK("https://www.suredividend.com/sure-analysis-AMCR/","Amcor Plc")</f>
        <v>0</v>
      </c>
      <c r="C509">
        <v>12.34</v>
      </c>
      <c r="D509">
        <v>12</v>
      </c>
      <c r="E509">
        <v>1.028333333333333</v>
      </c>
      <c r="F509">
        <v>0.03808752025931929</v>
      </c>
      <c r="G509">
        <v>-0.005572290610420305</v>
      </c>
      <c r="H509">
        <v>0.05</v>
      </c>
      <c r="I509">
        <v>0.07618298987598715</v>
      </c>
      <c r="J509" t="s">
        <v>514</v>
      </c>
      <c r="K509" t="s">
        <v>514</v>
      </c>
      <c r="L509">
        <v>0.8</v>
      </c>
      <c r="M509">
        <v>0.47</v>
      </c>
      <c r="N509">
        <v>0.5874999999999999</v>
      </c>
      <c r="O509">
        <v>1</v>
      </c>
      <c r="P509">
        <v>0.0204250165236175</v>
      </c>
      <c r="Q509">
        <v>0.053703798811908</v>
      </c>
      <c r="R509" t="s">
        <v>779</v>
      </c>
      <c r="S509" t="s">
        <v>787</v>
      </c>
      <c r="T509">
        <v>18873.309134</v>
      </c>
      <c r="U509" s="2">
        <v>44445</v>
      </c>
      <c r="V509" t="s">
        <v>796</v>
      </c>
    </row>
    <row r="510" spans="1:22">
      <c r="A510" s="1" t="s">
        <v>530</v>
      </c>
      <c r="B510">
        <f>HYPERLINK("https://www.suredividend.com/sure-analysis-DD/","DuPont de Nemours Inc")</f>
        <v>0</v>
      </c>
      <c r="C510">
        <v>79.97</v>
      </c>
      <c r="D510">
        <v>77</v>
      </c>
      <c r="E510">
        <v>1.038571428571428</v>
      </c>
      <c r="F510">
        <v>0.01500562711016631</v>
      </c>
      <c r="G510">
        <v>-0.007540654029009719</v>
      </c>
      <c r="H510">
        <v>0.07000000000000001</v>
      </c>
      <c r="I510">
        <v>0.07569401942029796</v>
      </c>
      <c r="J510" t="s">
        <v>514</v>
      </c>
      <c r="K510" t="s">
        <v>777</v>
      </c>
      <c r="L510">
        <v>4.25</v>
      </c>
      <c r="M510">
        <v>1.2</v>
      </c>
      <c r="N510">
        <v>0.2823529411764706</v>
      </c>
      <c r="O510">
        <v>0</v>
      </c>
      <c r="P510">
        <v>0.06054457313435013</v>
      </c>
      <c r="Q510">
        <v>0.329783741908375</v>
      </c>
      <c r="R510" t="s">
        <v>779</v>
      </c>
      <c r="S510" t="s">
        <v>787</v>
      </c>
      <c r="T510">
        <v>42378.053186</v>
      </c>
      <c r="U510" s="2">
        <v>44427</v>
      </c>
      <c r="V510" t="s">
        <v>798</v>
      </c>
    </row>
    <row r="511" spans="1:22">
      <c r="A511" s="1" t="s">
        <v>531</v>
      </c>
      <c r="B511">
        <f>HYPERLINK("https://www.suredividend.com/sure-analysis-MCY/","Mercury General Corp.")</f>
        <v>0</v>
      </c>
      <c r="C511">
        <v>53.2</v>
      </c>
      <c r="D511">
        <v>59</v>
      </c>
      <c r="E511">
        <v>0.9016949152542373</v>
      </c>
      <c r="F511">
        <v>0.04774436090225564</v>
      </c>
      <c r="G511">
        <v>0.02091145284589491</v>
      </c>
      <c r="H511">
        <v>0.015</v>
      </c>
      <c r="I511">
        <v>0.07517930252270344</v>
      </c>
      <c r="J511" t="s">
        <v>514</v>
      </c>
      <c r="K511" t="s">
        <v>776</v>
      </c>
      <c r="L511">
        <v>3.9</v>
      </c>
      <c r="M511">
        <v>2.54</v>
      </c>
      <c r="N511">
        <v>0.6512820512820513</v>
      </c>
      <c r="O511">
        <v>34</v>
      </c>
      <c r="P511">
        <v>0.004680391776183512</v>
      </c>
      <c r="Q511">
        <v>0.317938608842579</v>
      </c>
      <c r="R511" t="s">
        <v>779</v>
      </c>
      <c r="S511" t="s">
        <v>790</v>
      </c>
      <c r="T511">
        <v>2980.05581</v>
      </c>
      <c r="U511" s="2">
        <v>44424</v>
      </c>
      <c r="V511" t="s">
        <v>797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40.57</v>
      </c>
      <c r="D512">
        <v>35</v>
      </c>
      <c r="E512">
        <v>1.159142857142857</v>
      </c>
      <c r="F512">
        <v>0.01676115356174513</v>
      </c>
      <c r="G512">
        <v>-0.02910423363881331</v>
      </c>
      <c r="H512">
        <v>0.09</v>
      </c>
      <c r="I512">
        <v>0.0749016797658939</v>
      </c>
      <c r="J512" t="s">
        <v>514</v>
      </c>
      <c r="K512" t="s">
        <v>777</v>
      </c>
      <c r="L512">
        <v>1.28</v>
      </c>
      <c r="M512">
        <v>0.68</v>
      </c>
      <c r="N512">
        <v>0.53125</v>
      </c>
      <c r="O512">
        <v>4</v>
      </c>
      <c r="P512">
        <v>0.08447177119769855</v>
      </c>
      <c r="Q512">
        <v>0.497113264209278</v>
      </c>
      <c r="R512" t="s">
        <v>779</v>
      </c>
      <c r="S512" t="s">
        <v>793</v>
      </c>
      <c r="T512">
        <v>24187.034357</v>
      </c>
      <c r="U512" s="2">
        <v>44500</v>
      </c>
      <c r="V512" t="s">
        <v>794</v>
      </c>
    </row>
    <row r="513" spans="1:22">
      <c r="A513" s="1" t="s">
        <v>533</v>
      </c>
      <c r="B513">
        <f>HYPERLINK("https://www.suredividend.com/sure-analysis-CNP/","Centerpoint Energy Inc.")</f>
        <v>0</v>
      </c>
      <c r="C513">
        <v>26.58</v>
      </c>
      <c r="D513">
        <v>21.8</v>
      </c>
      <c r="E513">
        <v>1.219266055045871</v>
      </c>
      <c r="F513">
        <v>0.02558314522197141</v>
      </c>
      <c r="G513">
        <v>-0.03887404951247198</v>
      </c>
      <c r="H513">
        <v>0.08400000000000001</v>
      </c>
      <c r="I513">
        <v>0.07372044335907213</v>
      </c>
      <c r="J513" t="s">
        <v>514</v>
      </c>
      <c r="K513" t="s">
        <v>514</v>
      </c>
      <c r="L513">
        <v>1.36</v>
      </c>
      <c r="M513">
        <v>0.68</v>
      </c>
      <c r="N513">
        <v>0.5</v>
      </c>
      <c r="O513">
        <v>1</v>
      </c>
      <c r="P513">
        <v>0.1520571794673464</v>
      </c>
      <c r="Q513">
        <v>0.146905043008939</v>
      </c>
      <c r="R513" t="s">
        <v>779</v>
      </c>
      <c r="S513" t="s">
        <v>791</v>
      </c>
      <c r="T513">
        <v>16677.519266</v>
      </c>
      <c r="U513" s="2">
        <v>44421</v>
      </c>
      <c r="V513" t="s">
        <v>803</v>
      </c>
    </row>
    <row r="514" spans="1:22">
      <c r="A514" s="1" t="s">
        <v>534</v>
      </c>
      <c r="B514">
        <f>HYPERLINK("https://www.suredividend.com/sure-analysis-FE/","Firstenergy Corp.")</f>
        <v>0</v>
      </c>
      <c r="C514">
        <v>38.96</v>
      </c>
      <c r="D514">
        <v>39</v>
      </c>
      <c r="E514">
        <v>0.998974358974359</v>
      </c>
      <c r="F514">
        <v>0.04004106776180699</v>
      </c>
      <c r="G514">
        <v>0.0002052545328921074</v>
      </c>
      <c r="H514">
        <v>0.04</v>
      </c>
      <c r="I514">
        <v>0.07328685421224601</v>
      </c>
      <c r="J514" t="s">
        <v>514</v>
      </c>
      <c r="K514" t="s">
        <v>370</v>
      </c>
      <c r="L514">
        <v>2.6</v>
      </c>
      <c r="M514">
        <v>1.56</v>
      </c>
      <c r="N514">
        <v>0.6</v>
      </c>
      <c r="O514">
        <v>0</v>
      </c>
      <c r="P514">
        <v>0.01005227214699711</v>
      </c>
      <c r="Q514">
        <v>0.354093747127412</v>
      </c>
      <c r="R514" t="s">
        <v>779</v>
      </c>
      <c r="S514" t="s">
        <v>791</v>
      </c>
      <c r="T514">
        <v>20851.271408</v>
      </c>
      <c r="U514" s="2">
        <v>44498</v>
      </c>
      <c r="V514" t="s">
        <v>794</v>
      </c>
    </row>
    <row r="515" spans="1:22">
      <c r="A515" s="1" t="s">
        <v>535</v>
      </c>
      <c r="B515">
        <f>HYPERLINK("https://www.suredividend.com/sure-analysis-NWL/","Newell Brands Inc")</f>
        <v>0</v>
      </c>
      <c r="C515">
        <v>24.11</v>
      </c>
      <c r="D515">
        <v>23</v>
      </c>
      <c r="E515">
        <v>1.048260869565217</v>
      </c>
      <c r="F515">
        <v>0.03815844048112817</v>
      </c>
      <c r="G515">
        <v>-0.009382205122563936</v>
      </c>
      <c r="H515">
        <v>0.05</v>
      </c>
      <c r="I515">
        <v>0.07087792043278829</v>
      </c>
      <c r="J515" t="s">
        <v>514</v>
      </c>
      <c r="K515" t="s">
        <v>370</v>
      </c>
      <c r="L515">
        <v>1.75</v>
      </c>
      <c r="M515">
        <v>0.92</v>
      </c>
      <c r="N515">
        <v>0.5257142857142857</v>
      </c>
      <c r="O515">
        <v>0</v>
      </c>
      <c r="P515">
        <v>0</v>
      </c>
      <c r="Q515">
        <v>0.315124740683413</v>
      </c>
      <c r="R515" t="s">
        <v>779</v>
      </c>
      <c r="S515" t="s">
        <v>789</v>
      </c>
      <c r="T515">
        <v>10409.538</v>
      </c>
      <c r="U515" s="2">
        <v>44421</v>
      </c>
      <c r="V515" t="s">
        <v>798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18.88</v>
      </c>
      <c r="D516">
        <v>20</v>
      </c>
      <c r="E516">
        <v>0.944</v>
      </c>
      <c r="F516">
        <v>0.04449152542372881</v>
      </c>
      <c r="G516">
        <v>0.0115925007877935</v>
      </c>
      <c r="H516">
        <v>0.022</v>
      </c>
      <c r="I516">
        <v>0.07039351562354446</v>
      </c>
      <c r="J516" t="s">
        <v>514</v>
      </c>
      <c r="K516" t="s">
        <v>370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0.459300526152894</v>
      </c>
      <c r="R516" t="s">
        <v>781</v>
      </c>
      <c r="S516" t="s">
        <v>793</v>
      </c>
      <c r="T516">
        <v>2341.220463</v>
      </c>
      <c r="U516" s="2">
        <v>44498</v>
      </c>
      <c r="V516" t="s">
        <v>801</v>
      </c>
    </row>
    <row r="517" spans="1:22">
      <c r="A517" s="1" t="s">
        <v>537</v>
      </c>
      <c r="B517">
        <f>HYPERLINK("https://www.suredividend.com/sure-analysis-WSR/","Whitestone REIT")</f>
        <v>0</v>
      </c>
      <c r="C517">
        <v>9.74</v>
      </c>
      <c r="D517">
        <v>10</v>
      </c>
      <c r="E517">
        <v>0.974</v>
      </c>
      <c r="F517">
        <v>0.04414784394250513</v>
      </c>
      <c r="G517">
        <v>0.005282699577933148</v>
      </c>
      <c r="H517">
        <v>0.02</v>
      </c>
      <c r="I517">
        <v>0.07027155649163919</v>
      </c>
      <c r="J517" t="s">
        <v>514</v>
      </c>
      <c r="K517" t="s">
        <v>370</v>
      </c>
      <c r="L517">
        <v>0.92</v>
      </c>
      <c r="M517">
        <v>0.43</v>
      </c>
      <c r="N517">
        <v>0.4673913043478261</v>
      </c>
      <c r="O517">
        <v>0</v>
      </c>
      <c r="P517">
        <v>0.06889872481155268</v>
      </c>
      <c r="Q517">
        <v>0.428319001060195</v>
      </c>
      <c r="R517" t="s">
        <v>781</v>
      </c>
      <c r="S517" t="s">
        <v>793</v>
      </c>
      <c r="T517">
        <v>476.396643</v>
      </c>
      <c r="U517" s="2">
        <v>44498</v>
      </c>
      <c r="V517" t="s">
        <v>804</v>
      </c>
    </row>
    <row r="518" spans="1:22">
      <c r="A518" s="1" t="s">
        <v>538</v>
      </c>
      <c r="B518">
        <f>HYPERLINK("https://www.suredividend.com/sure-analysis-MPW/","Medical Properties Trust Inc")</f>
        <v>0</v>
      </c>
      <c r="C518">
        <v>21.23</v>
      </c>
      <c r="D518">
        <v>21.9</v>
      </c>
      <c r="E518">
        <v>0.969406392694064</v>
      </c>
      <c r="F518">
        <v>0.0527555346208196</v>
      </c>
      <c r="G518">
        <v>0.0062336208695708</v>
      </c>
      <c r="H518">
        <v>0.014</v>
      </c>
      <c r="I518">
        <v>0.07021711507154582</v>
      </c>
      <c r="J518" t="s">
        <v>514</v>
      </c>
      <c r="K518" t="s">
        <v>370</v>
      </c>
      <c r="L518">
        <v>1.75</v>
      </c>
      <c r="M518">
        <v>1.12</v>
      </c>
      <c r="N518">
        <v>0.64</v>
      </c>
      <c r="O518">
        <v>9</v>
      </c>
      <c r="P518">
        <v>0.04111932758460823</v>
      </c>
      <c r="Q518">
        <v>0.170438997049175</v>
      </c>
      <c r="R518" t="s">
        <v>781</v>
      </c>
      <c r="S518" t="s">
        <v>793</v>
      </c>
      <c r="T518">
        <v>12688.41</v>
      </c>
      <c r="U518" s="2">
        <v>44503</v>
      </c>
      <c r="V518" t="s">
        <v>803</v>
      </c>
    </row>
    <row r="519" spans="1:22">
      <c r="A519" s="1" t="s">
        <v>539</v>
      </c>
      <c r="B519">
        <f>HYPERLINK("https://www.suredividend.com/sure-analysis-HIW/","Highwoods Properties, Inc.")</f>
        <v>0</v>
      </c>
      <c r="C519">
        <v>47.07</v>
      </c>
      <c r="D519">
        <v>49</v>
      </c>
      <c r="E519">
        <v>0.9606122448979592</v>
      </c>
      <c r="F519">
        <v>0.04248990864669641</v>
      </c>
      <c r="G519">
        <v>0.008069271021547531</v>
      </c>
      <c r="H519">
        <v>0.025</v>
      </c>
      <c r="I519">
        <v>0.07013775214905804</v>
      </c>
      <c r="J519" t="s">
        <v>514</v>
      </c>
      <c r="K519" t="s">
        <v>370</v>
      </c>
      <c r="L519">
        <v>3.75</v>
      </c>
      <c r="M519">
        <v>2</v>
      </c>
      <c r="N519">
        <v>0.5333333333333333</v>
      </c>
      <c r="O519">
        <v>4</v>
      </c>
      <c r="P519">
        <v>0.02016978262061087</v>
      </c>
      <c r="Q519">
        <v>0.460553505765424</v>
      </c>
      <c r="R519" t="s">
        <v>781</v>
      </c>
      <c r="S519" t="s">
        <v>793</v>
      </c>
      <c r="T519">
        <v>4884.083471</v>
      </c>
      <c r="U519" s="2">
        <v>44496</v>
      </c>
      <c r="V519" t="s">
        <v>801</v>
      </c>
    </row>
    <row r="520" spans="1:22">
      <c r="A520" s="1" t="s">
        <v>540</v>
      </c>
      <c r="B520">
        <f>HYPERLINK("https://www.suredividend.com/sure-analysis-CNA/","CNA Financial Corp.")</f>
        <v>0</v>
      </c>
      <c r="C520">
        <v>45.68</v>
      </c>
      <c r="D520">
        <v>48</v>
      </c>
      <c r="E520">
        <v>0.9516666666666667</v>
      </c>
      <c r="F520">
        <v>0.03327495621716287</v>
      </c>
      <c r="G520">
        <v>0.00995733674253918</v>
      </c>
      <c r="H520">
        <v>0.03</v>
      </c>
      <c r="I520">
        <v>0.06960732126107771</v>
      </c>
      <c r="J520" t="s">
        <v>514</v>
      </c>
      <c r="K520" t="s">
        <v>370</v>
      </c>
      <c r="L520">
        <v>4</v>
      </c>
      <c r="M520">
        <v>1.52</v>
      </c>
      <c r="N520">
        <v>0.38</v>
      </c>
      <c r="O520">
        <v>5</v>
      </c>
      <c r="P520">
        <v>0.02975477857041309</v>
      </c>
      <c r="Q520">
        <v>0.361334846928662</v>
      </c>
      <c r="R520" t="s">
        <v>779</v>
      </c>
      <c r="S520" t="s">
        <v>790</v>
      </c>
      <c r="T520">
        <v>12300.743496</v>
      </c>
      <c r="U520" s="2">
        <v>44509</v>
      </c>
      <c r="V520" t="s">
        <v>799</v>
      </c>
    </row>
    <row r="521" spans="1:22">
      <c r="A521" s="1" t="s">
        <v>541</v>
      </c>
      <c r="B521">
        <f>HYPERLINK("https://www.suredividend.com/sure-analysis-PETS/","Petmed Express, Inc.")</f>
        <v>0</v>
      </c>
      <c r="C521">
        <v>29.61</v>
      </c>
      <c r="D521">
        <v>23</v>
      </c>
      <c r="E521">
        <v>1.287391304347826</v>
      </c>
      <c r="F521">
        <v>0.04052684903748734</v>
      </c>
      <c r="G521">
        <v>-0.04926849481985318</v>
      </c>
      <c r="H521">
        <v>0.08</v>
      </c>
      <c r="I521">
        <v>0.06927459445987805</v>
      </c>
      <c r="J521" t="s">
        <v>514</v>
      </c>
      <c r="K521" t="s">
        <v>370</v>
      </c>
      <c r="L521">
        <v>1.25</v>
      </c>
      <c r="M521">
        <v>1.2</v>
      </c>
      <c r="N521">
        <v>0.96</v>
      </c>
      <c r="O521">
        <v>13</v>
      </c>
      <c r="P521">
        <v>0.0796084730466029</v>
      </c>
      <c r="Q521">
        <v>0.029233964720835</v>
      </c>
      <c r="R521" t="s">
        <v>779</v>
      </c>
      <c r="S521" t="s">
        <v>784</v>
      </c>
      <c r="T521">
        <v>608.030481</v>
      </c>
      <c r="U521" s="2">
        <v>44499</v>
      </c>
      <c r="V521" t="s">
        <v>796</v>
      </c>
    </row>
    <row r="522" spans="1:22">
      <c r="A522" s="1" t="s">
        <v>542</v>
      </c>
      <c r="B522">
        <f>HYPERLINK("https://www.suredividend.com/sure-analysis-IP/","International Paper Co.")</f>
        <v>0</v>
      </c>
      <c r="C522">
        <v>49.7</v>
      </c>
      <c r="D522">
        <v>46</v>
      </c>
      <c r="E522">
        <v>1.080434782608696</v>
      </c>
      <c r="F522">
        <v>0.03722334004024145</v>
      </c>
      <c r="G522">
        <v>-0.01535361997908358</v>
      </c>
      <c r="H522">
        <v>0.05</v>
      </c>
      <c r="I522">
        <v>0.06865494874875</v>
      </c>
      <c r="J522" t="s">
        <v>514</v>
      </c>
      <c r="K522" t="s">
        <v>370</v>
      </c>
      <c r="L522">
        <v>4.6</v>
      </c>
      <c r="M522">
        <v>1.85</v>
      </c>
      <c r="N522">
        <v>0.4021739130434783</v>
      </c>
      <c r="O522">
        <v>0</v>
      </c>
      <c r="P522">
        <v>0.04450667934242181</v>
      </c>
      <c r="Q522">
        <v>0.139390352175199</v>
      </c>
      <c r="R522" t="s">
        <v>779</v>
      </c>
      <c r="S522" t="s">
        <v>788</v>
      </c>
      <c r="T522">
        <v>19084.328968</v>
      </c>
      <c r="U522" s="2">
        <v>44498</v>
      </c>
      <c r="V522" t="s">
        <v>802</v>
      </c>
    </row>
    <row r="523" spans="1:22">
      <c r="A523" s="1" t="s">
        <v>543</v>
      </c>
      <c r="B523">
        <f>HYPERLINK("https://www.suredividend.com/sure-analysis-SMFG/","Sumitomo Mitsui Financial Group Inc")</f>
        <v>0</v>
      </c>
      <c r="C523">
        <v>6.68</v>
      </c>
      <c r="D523">
        <v>7.15</v>
      </c>
      <c r="E523">
        <v>0.9342657342657342</v>
      </c>
      <c r="F523">
        <v>0.05089820359281438</v>
      </c>
      <c r="G523">
        <v>0.01369175908357922</v>
      </c>
      <c r="H523">
        <v>0.01</v>
      </c>
      <c r="I523">
        <v>0.06782627798078833</v>
      </c>
      <c r="J523" t="s">
        <v>514</v>
      </c>
      <c r="K523" t="s">
        <v>370</v>
      </c>
      <c r="L523">
        <v>0.65</v>
      </c>
      <c r="M523">
        <v>0.34</v>
      </c>
      <c r="N523">
        <v>0.5230769230769231</v>
      </c>
      <c r="O523">
        <v>0</v>
      </c>
      <c r="P523">
        <v>0.01149727415513624</v>
      </c>
      <c r="Q523">
        <v>0.12447210868201</v>
      </c>
      <c r="R523" t="s">
        <v>779</v>
      </c>
      <c r="S523" t="s">
        <v>790</v>
      </c>
      <c r="T523">
        <v>45560.103681</v>
      </c>
      <c r="U523" s="2">
        <v>44429</v>
      </c>
      <c r="V523" t="s">
        <v>798</v>
      </c>
    </row>
    <row r="524" spans="1:22">
      <c r="A524" s="1" t="s">
        <v>544</v>
      </c>
      <c r="B524">
        <f>HYPERLINK("https://www.suredividend.com/sure-analysis-EMRAF/","Emera, Inc.")</f>
        <v>0</v>
      </c>
      <c r="C524">
        <v>47.4</v>
      </c>
      <c r="D524">
        <v>41</v>
      </c>
      <c r="E524">
        <v>1.15609756097561</v>
      </c>
      <c r="F524">
        <v>0.04219409282700422</v>
      </c>
      <c r="G524">
        <v>-0.02859328112241077</v>
      </c>
      <c r="H524">
        <v>0.055</v>
      </c>
      <c r="I524">
        <v>0.06467108577422609</v>
      </c>
      <c r="J524" t="s">
        <v>514</v>
      </c>
      <c r="K524" t="s">
        <v>776</v>
      </c>
      <c r="L524">
        <v>2.22</v>
      </c>
      <c r="M524">
        <v>2</v>
      </c>
      <c r="N524">
        <v>0.9009009009009008</v>
      </c>
      <c r="O524">
        <v>13</v>
      </c>
      <c r="P524">
        <v>0.03971726473271953</v>
      </c>
      <c r="Q524">
        <v>0.08560221504383901</v>
      </c>
      <c r="R524" t="s">
        <v>779</v>
      </c>
      <c r="S524" t="s">
        <v>791</v>
      </c>
      <c r="T524">
        <v>12173.097069</v>
      </c>
      <c r="U524" s="2">
        <v>44466</v>
      </c>
      <c r="V524" t="s">
        <v>801</v>
      </c>
    </row>
    <row r="525" spans="1:22">
      <c r="A525" s="1" t="s">
        <v>545</v>
      </c>
      <c r="B525">
        <f>HYPERLINK("https://www.suredividend.com/sure-analysis-LMRK/","Landmark Infrastructure Partners LP")</f>
        <v>0</v>
      </c>
      <c r="C525">
        <v>16.29</v>
      </c>
      <c r="D525">
        <v>16.2</v>
      </c>
      <c r="E525">
        <v>1.005555555555556</v>
      </c>
      <c r="F525">
        <v>0.04910988336402702</v>
      </c>
      <c r="G525">
        <v>-0.001107422429819205</v>
      </c>
      <c r="H525">
        <v>0.021</v>
      </c>
      <c r="I525">
        <v>0.06452751980680738</v>
      </c>
      <c r="J525" t="s">
        <v>514</v>
      </c>
      <c r="K525" t="s">
        <v>370</v>
      </c>
      <c r="L525">
        <v>1.47</v>
      </c>
      <c r="M525">
        <v>0.8</v>
      </c>
      <c r="N525">
        <v>0.54421768707483</v>
      </c>
      <c r="O525">
        <v>0</v>
      </c>
      <c r="P525">
        <v>0.02383625553960966</v>
      </c>
      <c r="Q525">
        <v>0.6244767789515641</v>
      </c>
      <c r="R525" t="s">
        <v>780</v>
      </c>
      <c r="S525" t="s">
        <v>793</v>
      </c>
      <c r="T525">
        <v>415.47057</v>
      </c>
      <c r="U525" s="2">
        <v>44421</v>
      </c>
      <c r="V525" t="s">
        <v>803</v>
      </c>
    </row>
    <row r="526" spans="1:22">
      <c r="A526" s="1" t="s">
        <v>546</v>
      </c>
      <c r="B526">
        <f>HYPERLINK("https://www.suredividend.com/sure-analysis-DEA/","Easterly Government Properties Inc")</f>
        <v>0</v>
      </c>
      <c r="C526">
        <v>21.36</v>
      </c>
      <c r="D526">
        <v>20.8</v>
      </c>
      <c r="E526">
        <v>1.026923076923077</v>
      </c>
      <c r="F526">
        <v>0.04962546816479401</v>
      </c>
      <c r="G526">
        <v>-0.005299314306477343</v>
      </c>
      <c r="H526">
        <v>0.021</v>
      </c>
      <c r="I526">
        <v>0.06363578976535011</v>
      </c>
      <c r="J526" t="s">
        <v>514</v>
      </c>
      <c r="K526" t="s">
        <v>776</v>
      </c>
      <c r="L526">
        <v>1.31</v>
      </c>
      <c r="M526">
        <v>1.06</v>
      </c>
      <c r="N526">
        <v>0.8091603053435115</v>
      </c>
      <c r="O526">
        <v>1</v>
      </c>
      <c r="P526">
        <v>0.04166362161741732</v>
      </c>
      <c r="Q526">
        <v>0.06847432151138901</v>
      </c>
      <c r="R526" t="s">
        <v>781</v>
      </c>
      <c r="S526" t="s">
        <v>793</v>
      </c>
      <c r="T526">
        <v>1861.443001</v>
      </c>
      <c r="U526" s="2">
        <v>44506</v>
      </c>
      <c r="V526" t="s">
        <v>803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61.18</v>
      </c>
      <c r="D527">
        <v>50</v>
      </c>
      <c r="E527">
        <v>1.2236</v>
      </c>
      <c r="F527">
        <v>0.02288329519450801</v>
      </c>
      <c r="G527">
        <v>-0.03955587054991594</v>
      </c>
      <c r="H527">
        <v>0.08500000000000001</v>
      </c>
      <c r="I527">
        <v>0.06305570200027355</v>
      </c>
      <c r="J527" t="s">
        <v>514</v>
      </c>
      <c r="K527" t="s">
        <v>514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0.378502077120307</v>
      </c>
      <c r="R527" t="s">
        <v>781</v>
      </c>
      <c r="S527" t="s">
        <v>793</v>
      </c>
      <c r="T527">
        <v>4974.8961</v>
      </c>
      <c r="U527" s="2">
        <v>44416</v>
      </c>
      <c r="V527" t="s">
        <v>794</v>
      </c>
    </row>
    <row r="528" spans="1:22">
      <c r="A528" s="1" t="s">
        <v>548</v>
      </c>
      <c r="B528">
        <f>HYPERLINK("https://www.suredividend.com/sure-analysis-PCAR/","Paccar Inc.")</f>
        <v>0</v>
      </c>
      <c r="C528">
        <v>89.45999999999999</v>
      </c>
      <c r="D528">
        <v>83</v>
      </c>
      <c r="E528">
        <v>1.077831325301205</v>
      </c>
      <c r="F528">
        <v>0.02638050525374469</v>
      </c>
      <c r="G528">
        <v>-0.01487840432338239</v>
      </c>
      <c r="H528">
        <v>0.05</v>
      </c>
      <c r="I528">
        <v>0.06225985643153553</v>
      </c>
      <c r="J528" t="s">
        <v>514</v>
      </c>
      <c r="K528" t="s">
        <v>514</v>
      </c>
      <c r="L528">
        <v>5.5</v>
      </c>
      <c r="M528">
        <v>2.36</v>
      </c>
      <c r="N528">
        <v>0.4290909090909091</v>
      </c>
      <c r="O528">
        <v>11</v>
      </c>
      <c r="P528">
        <v>0.08262742077275398</v>
      </c>
      <c r="Q528">
        <v>-0.009679310263354</v>
      </c>
      <c r="R528" t="s">
        <v>779</v>
      </c>
      <c r="S528" t="s">
        <v>786</v>
      </c>
      <c r="T528">
        <v>30558.54797</v>
      </c>
      <c r="U528" s="2">
        <v>44497</v>
      </c>
      <c r="V528" t="s">
        <v>799</v>
      </c>
    </row>
    <row r="529" spans="1:22">
      <c r="A529" s="1" t="s">
        <v>549</v>
      </c>
      <c r="B529">
        <f>HYPERLINK("https://www.suredividend.com/sure-analysis-ADC/","Agree Realty Corp.")</f>
        <v>0</v>
      </c>
      <c r="C529">
        <v>69.86</v>
      </c>
      <c r="D529">
        <v>63</v>
      </c>
      <c r="E529">
        <v>1.108888888888889</v>
      </c>
      <c r="F529">
        <v>0.03406813627254509</v>
      </c>
      <c r="G529">
        <v>-0.02045950761243964</v>
      </c>
      <c r="H529">
        <v>0.05</v>
      </c>
      <c r="I529">
        <v>0.06159295928724084</v>
      </c>
      <c r="J529" t="s">
        <v>514</v>
      </c>
      <c r="K529" t="s">
        <v>514</v>
      </c>
      <c r="L529">
        <v>3.5</v>
      </c>
      <c r="M529">
        <v>2.38</v>
      </c>
      <c r="N529">
        <v>0.6799999999999999</v>
      </c>
      <c r="O529">
        <v>11</v>
      </c>
      <c r="P529">
        <v>0.04947750535151019</v>
      </c>
      <c r="Q529">
        <v>0.144823353936981</v>
      </c>
      <c r="R529" t="s">
        <v>781</v>
      </c>
      <c r="S529" t="s">
        <v>793</v>
      </c>
      <c r="T529">
        <v>4868.533018</v>
      </c>
      <c r="U529" s="2">
        <v>44507</v>
      </c>
      <c r="V529" t="s">
        <v>796</v>
      </c>
    </row>
    <row r="530" spans="1:22">
      <c r="A530" s="1" t="s">
        <v>550</v>
      </c>
      <c r="B530">
        <f>HYPERLINK("https://www.suredividend.com/sure-analysis-AGNC/","AGNC Investment Corp")</f>
        <v>0</v>
      </c>
      <c r="C530">
        <v>16.02</v>
      </c>
      <c r="D530">
        <v>23.5</v>
      </c>
      <c r="E530">
        <v>0.6817021276595745</v>
      </c>
      <c r="F530">
        <v>0.0898876404494382</v>
      </c>
      <c r="G530">
        <v>0.07964522942940122</v>
      </c>
      <c r="H530">
        <v>-0.099</v>
      </c>
      <c r="I530">
        <v>0.05895392432494706</v>
      </c>
      <c r="J530" t="s">
        <v>514</v>
      </c>
      <c r="K530" t="s">
        <v>776</v>
      </c>
      <c r="L530">
        <v>2.94</v>
      </c>
      <c r="M530">
        <v>1.44</v>
      </c>
      <c r="N530">
        <v>0.4897959183673469</v>
      </c>
      <c r="O530">
        <v>0</v>
      </c>
      <c r="P530">
        <v>0.008197818497166498</v>
      </c>
      <c r="Q530">
        <v>0.229749688162415</v>
      </c>
      <c r="R530" t="s">
        <v>781</v>
      </c>
      <c r="S530" t="s">
        <v>793</v>
      </c>
      <c r="T530">
        <v>8435.277699</v>
      </c>
      <c r="U530" s="2">
        <v>44503</v>
      </c>
      <c r="V530" t="s">
        <v>803</v>
      </c>
    </row>
    <row r="531" spans="1:22">
      <c r="A531" s="1" t="s">
        <v>551</v>
      </c>
      <c r="B531">
        <f>HYPERLINK("https://www.suredividend.com/sure-analysis-CAJ/","Canon Inc")</f>
        <v>0</v>
      </c>
      <c r="C531">
        <v>22.5</v>
      </c>
      <c r="D531">
        <v>22</v>
      </c>
      <c r="E531">
        <v>1.022727272727273</v>
      </c>
      <c r="F531">
        <v>0.03422222222222222</v>
      </c>
      <c r="G531">
        <v>-0.00448448570101978</v>
      </c>
      <c r="H531">
        <v>0.03</v>
      </c>
      <c r="I531">
        <v>0.05462252290372271</v>
      </c>
      <c r="J531" t="s">
        <v>514</v>
      </c>
      <c r="K531" t="s">
        <v>370</v>
      </c>
      <c r="L531">
        <v>1.8</v>
      </c>
      <c r="M531">
        <v>0.77</v>
      </c>
      <c r="N531">
        <v>0.4277777777777778</v>
      </c>
      <c r="O531">
        <v>0</v>
      </c>
      <c r="P531">
        <v>0</v>
      </c>
      <c r="Q531">
        <v>0.287604681581137</v>
      </c>
      <c r="R531" t="s">
        <v>779</v>
      </c>
      <c r="S531" t="s">
        <v>785</v>
      </c>
      <c r="T531">
        <v>30329.781171</v>
      </c>
      <c r="U531" s="2">
        <v>44505</v>
      </c>
      <c r="V531" t="s">
        <v>797</v>
      </c>
    </row>
    <row r="532" spans="1:22">
      <c r="A532" s="1" t="s">
        <v>552</v>
      </c>
      <c r="B532">
        <f>HYPERLINK("https://www.suredividend.com/sure-analysis-JNPR/","Juniper Networks Inc")</f>
        <v>0</v>
      </c>
      <c r="C532">
        <v>31.75</v>
      </c>
      <c r="D532">
        <v>26</v>
      </c>
      <c r="E532">
        <v>1.221153846153846</v>
      </c>
      <c r="F532">
        <v>0.02519685039370079</v>
      </c>
      <c r="G532">
        <v>-0.03917139583481322</v>
      </c>
      <c r="H532">
        <v>0.07000000000000001</v>
      </c>
      <c r="I532">
        <v>0.05300433315814779</v>
      </c>
      <c r="J532" t="s">
        <v>514</v>
      </c>
      <c r="K532" t="s">
        <v>514</v>
      </c>
      <c r="L532">
        <v>1.8</v>
      </c>
      <c r="M532">
        <v>0.8</v>
      </c>
      <c r="N532">
        <v>0.4444444444444445</v>
      </c>
      <c r="O532">
        <v>3</v>
      </c>
      <c r="P532">
        <v>0.04978904632428516</v>
      </c>
      <c r="Q532">
        <v>0.5144212231048041</v>
      </c>
      <c r="R532" t="s">
        <v>779</v>
      </c>
      <c r="S532" t="s">
        <v>785</v>
      </c>
      <c r="T532">
        <v>10217.19057</v>
      </c>
      <c r="U532" s="2">
        <v>44498</v>
      </c>
      <c r="V532" t="s">
        <v>801</v>
      </c>
    </row>
    <row r="533" spans="1:22">
      <c r="A533" s="1" t="s">
        <v>553</v>
      </c>
      <c r="B533">
        <f>HYPERLINK("https://www.suredividend.com/sure-analysis-GLW/","Corning, Inc.")</f>
        <v>0</v>
      </c>
      <c r="C533">
        <v>37.87</v>
      </c>
      <c r="D533">
        <v>34</v>
      </c>
      <c r="E533">
        <v>1.113823529411765</v>
      </c>
      <c r="F533">
        <v>0.025349881172432</v>
      </c>
      <c r="G533">
        <v>-0.02132899346911388</v>
      </c>
      <c r="H533">
        <v>0.05</v>
      </c>
      <c r="I533">
        <v>0.05290433376633685</v>
      </c>
      <c r="J533" t="s">
        <v>514</v>
      </c>
      <c r="K533" t="s">
        <v>514</v>
      </c>
      <c r="L533">
        <v>2.15</v>
      </c>
      <c r="M533">
        <v>0.96</v>
      </c>
      <c r="N533">
        <v>0.4465116279069767</v>
      </c>
      <c r="O533">
        <v>11</v>
      </c>
      <c r="P533">
        <v>0.05251935381426631</v>
      </c>
      <c r="Q533">
        <v>0.09695510290770501</v>
      </c>
      <c r="R533" t="s">
        <v>779</v>
      </c>
      <c r="S533" t="s">
        <v>785</v>
      </c>
      <c r="T533">
        <v>32617.271303</v>
      </c>
      <c r="U533" s="2">
        <v>44497</v>
      </c>
      <c r="V533" t="s">
        <v>799</v>
      </c>
    </row>
    <row r="534" spans="1:22">
      <c r="A534" s="1" t="s">
        <v>554</v>
      </c>
      <c r="B534">
        <f>HYPERLINK("https://www.suredividend.com/sure-analysis-HBAN/","Huntington Bancshares, Inc.")</f>
        <v>0</v>
      </c>
      <c r="C534">
        <v>15.89</v>
      </c>
      <c r="D534">
        <v>14</v>
      </c>
      <c r="E534">
        <v>1.135</v>
      </c>
      <c r="F534">
        <v>0.03901825047199496</v>
      </c>
      <c r="G534">
        <v>-0.02500850411023636</v>
      </c>
      <c r="H534">
        <v>0.04</v>
      </c>
      <c r="I534">
        <v>0.05240307550617063</v>
      </c>
      <c r="J534" t="s">
        <v>514</v>
      </c>
      <c r="K534" t="s">
        <v>370</v>
      </c>
      <c r="L534">
        <v>1.25</v>
      </c>
      <c r="M534">
        <v>0.62</v>
      </c>
      <c r="N534">
        <v>0.496</v>
      </c>
      <c r="O534">
        <v>1</v>
      </c>
      <c r="P534">
        <v>0.03880472124431766</v>
      </c>
      <c r="Q534">
        <v>0.384683843610124</v>
      </c>
      <c r="R534" t="s">
        <v>779</v>
      </c>
      <c r="S534" t="s">
        <v>790</v>
      </c>
      <c r="T534">
        <v>22955.340022</v>
      </c>
      <c r="U534" s="2">
        <v>44499</v>
      </c>
      <c r="V534" t="s">
        <v>799</v>
      </c>
    </row>
    <row r="535" spans="1:22">
      <c r="A535" s="1" t="s">
        <v>555</v>
      </c>
      <c r="B535">
        <f>HYPERLINK("https://www.suredividend.com/sure-analysis-UE/","Urban Edge Properties")</f>
        <v>0</v>
      </c>
      <c r="C535">
        <v>18.57</v>
      </c>
      <c r="D535">
        <v>18</v>
      </c>
      <c r="E535">
        <v>1.031666666666667</v>
      </c>
      <c r="F535">
        <v>0.03231017770597738</v>
      </c>
      <c r="G535">
        <v>-0.006215725448540987</v>
      </c>
      <c r="H535">
        <v>0.03</v>
      </c>
      <c r="I535">
        <v>0.05225680117570208</v>
      </c>
      <c r="J535" t="s">
        <v>514</v>
      </c>
      <c r="K535" t="s">
        <v>514</v>
      </c>
      <c r="L535">
        <v>1.08</v>
      </c>
      <c r="M535">
        <v>0.6</v>
      </c>
      <c r="N535">
        <v>0.5555555555555555</v>
      </c>
      <c r="O535">
        <v>0</v>
      </c>
      <c r="P535">
        <v>0.009805797673485328</v>
      </c>
      <c r="Q535">
        <v>0.614003182541486</v>
      </c>
      <c r="R535" t="s">
        <v>781</v>
      </c>
      <c r="S535" t="s">
        <v>793</v>
      </c>
      <c r="T535">
        <v>2162.363566</v>
      </c>
      <c r="U535" s="2">
        <v>44426</v>
      </c>
      <c r="V535" t="s">
        <v>801</v>
      </c>
    </row>
    <row r="536" spans="1:22">
      <c r="A536" s="1" t="s">
        <v>556</v>
      </c>
      <c r="B536">
        <f>HYPERLINK("https://www.suredividend.com/sure-analysis-NTAP/","Netapp Inc")</f>
        <v>0</v>
      </c>
      <c r="C536">
        <v>91.42</v>
      </c>
      <c r="D536">
        <v>79</v>
      </c>
      <c r="E536">
        <v>1.157215189873418</v>
      </c>
      <c r="F536">
        <v>0.02187705097352877</v>
      </c>
      <c r="G536">
        <v>-0.02878098897252634</v>
      </c>
      <c r="H536">
        <v>0.06</v>
      </c>
      <c r="I536">
        <v>0.05179846805750543</v>
      </c>
      <c r="J536" t="s">
        <v>514</v>
      </c>
      <c r="K536" t="s">
        <v>514</v>
      </c>
      <c r="L536">
        <v>4.95</v>
      </c>
      <c r="M536">
        <v>2</v>
      </c>
      <c r="N536">
        <v>0.404040404040404</v>
      </c>
      <c r="O536">
        <v>7</v>
      </c>
      <c r="P536">
        <v>0.0602809527753625</v>
      </c>
      <c r="Q536">
        <v>0.885319970426353</v>
      </c>
      <c r="R536" t="s">
        <v>779</v>
      </c>
      <c r="S536" t="s">
        <v>785</v>
      </c>
      <c r="T536">
        <v>20529.181123</v>
      </c>
      <c r="U536" s="2">
        <v>44435</v>
      </c>
      <c r="V536" t="s">
        <v>799</v>
      </c>
    </row>
    <row r="537" spans="1:22">
      <c r="A537" s="1" t="s">
        <v>557</v>
      </c>
      <c r="B537">
        <f>HYPERLINK("https://www.suredividend.com/sure-analysis-AES/","AES Corp.")</f>
        <v>0</v>
      </c>
      <c r="C537">
        <v>24.1</v>
      </c>
      <c r="D537">
        <v>19</v>
      </c>
      <c r="E537">
        <v>1.268421052631579</v>
      </c>
      <c r="F537">
        <v>0.02489626556016597</v>
      </c>
      <c r="G537">
        <v>-0.04644156613184292</v>
      </c>
      <c r="H537">
        <v>0.075</v>
      </c>
      <c r="I537">
        <v>0.05007936665891011</v>
      </c>
      <c r="J537" t="s">
        <v>514</v>
      </c>
      <c r="K537" t="s">
        <v>514</v>
      </c>
      <c r="L537">
        <v>1.54</v>
      </c>
      <c r="M537">
        <v>0.6</v>
      </c>
      <c r="N537">
        <v>0.3896103896103896</v>
      </c>
      <c r="O537">
        <v>9</v>
      </c>
      <c r="P537">
        <v>0.05115774595007161</v>
      </c>
      <c r="Q537">
        <v>0.167153591354562</v>
      </c>
      <c r="R537" t="s">
        <v>779</v>
      </c>
      <c r="S537" t="s">
        <v>792</v>
      </c>
      <c r="T537">
        <v>15927.793375</v>
      </c>
      <c r="U537" s="2">
        <v>44417</v>
      </c>
      <c r="V537" t="s">
        <v>801</v>
      </c>
    </row>
    <row r="538" spans="1:22">
      <c r="A538" s="1" t="s">
        <v>558</v>
      </c>
      <c r="B538">
        <f>HYPERLINK("https://www.suredividend.com/sure-analysis-ALV/","Autoliv Inc.")</f>
        <v>0</v>
      </c>
      <c r="C538">
        <v>101.19</v>
      </c>
      <c r="D538">
        <v>71</v>
      </c>
      <c r="E538">
        <v>1.425211267605634</v>
      </c>
      <c r="F538">
        <v>0.02450835062753236</v>
      </c>
      <c r="G538">
        <v>-0.06841143175007958</v>
      </c>
      <c r="H538">
        <v>0.1</v>
      </c>
      <c r="I538">
        <v>0.0500348109912625</v>
      </c>
      <c r="J538" t="s">
        <v>514</v>
      </c>
      <c r="K538" t="s">
        <v>514</v>
      </c>
      <c r="L538">
        <v>5.1</v>
      </c>
      <c r="M538">
        <v>2.48</v>
      </c>
      <c r="N538">
        <v>0.4862745098039216</v>
      </c>
      <c r="O538">
        <v>0</v>
      </c>
      <c r="P538">
        <v>0.06007667938522787</v>
      </c>
      <c r="Q538">
        <v>0.246648890779826</v>
      </c>
      <c r="R538" t="s">
        <v>779</v>
      </c>
      <c r="S538" t="s">
        <v>788</v>
      </c>
      <c r="T538">
        <v>9021.86404</v>
      </c>
      <c r="U538" s="2">
        <v>44493</v>
      </c>
      <c r="V538" t="s">
        <v>798</v>
      </c>
    </row>
    <row r="539" spans="1:22">
      <c r="A539" s="1" t="s">
        <v>559</v>
      </c>
      <c r="B539">
        <f>HYPERLINK("https://www.suredividend.com/sure-analysis-DEI/","Douglas Emmett Inc")</f>
        <v>0</v>
      </c>
      <c r="C539">
        <v>36.07</v>
      </c>
      <c r="D539">
        <v>28</v>
      </c>
      <c r="E539">
        <v>1.288214285714286</v>
      </c>
      <c r="F539">
        <v>0.03105073468256169</v>
      </c>
      <c r="G539">
        <v>-0.04939000167523688</v>
      </c>
      <c r="H539">
        <v>0.07000000000000001</v>
      </c>
      <c r="I539">
        <v>0.04968794632678897</v>
      </c>
      <c r="J539" t="s">
        <v>514</v>
      </c>
      <c r="K539" t="s">
        <v>514</v>
      </c>
      <c r="L539">
        <v>1.81</v>
      </c>
      <c r="M539">
        <v>1.12</v>
      </c>
      <c r="N539">
        <v>0.6187845303867404</v>
      </c>
      <c r="O539">
        <v>10</v>
      </c>
      <c r="P539">
        <v>0.06016789231717423</v>
      </c>
      <c r="Q539">
        <v>0.314483854549981</v>
      </c>
      <c r="R539" t="s">
        <v>781</v>
      </c>
      <c r="S539" t="s">
        <v>793</v>
      </c>
      <c r="T539">
        <v>6299.939502</v>
      </c>
      <c r="U539" s="2">
        <v>44474</v>
      </c>
      <c r="V539" t="s">
        <v>802</v>
      </c>
    </row>
    <row r="540" spans="1:22">
      <c r="A540" s="1" t="s">
        <v>560</v>
      </c>
      <c r="B540">
        <f>HYPERLINK("https://www.suredividend.com/sure-analysis-KHC/","Kraft Heinz Co")</f>
        <v>0</v>
      </c>
      <c r="C540">
        <v>37.49</v>
      </c>
      <c r="D540">
        <v>36</v>
      </c>
      <c r="E540">
        <v>1.041388888888889</v>
      </c>
      <c r="F540">
        <v>0.04267804747932782</v>
      </c>
      <c r="G540">
        <v>-0.008078252580402401</v>
      </c>
      <c r="H540">
        <v>0.02</v>
      </c>
      <c r="I540">
        <v>0.04955684202488331</v>
      </c>
      <c r="J540" t="s">
        <v>514</v>
      </c>
      <c r="K540" t="s">
        <v>370</v>
      </c>
      <c r="L540">
        <v>2.8</v>
      </c>
      <c r="M540">
        <v>1.6</v>
      </c>
      <c r="N540">
        <v>0.5714285714285715</v>
      </c>
      <c r="O540">
        <v>0</v>
      </c>
      <c r="P540">
        <v>0</v>
      </c>
      <c r="Q540">
        <v>0.272494361504234</v>
      </c>
      <c r="R540" t="s">
        <v>779</v>
      </c>
      <c r="S540" t="s">
        <v>789</v>
      </c>
      <c r="T540">
        <v>45763.516465</v>
      </c>
      <c r="U540" s="2">
        <v>44508</v>
      </c>
      <c r="V540" t="s">
        <v>797</v>
      </c>
    </row>
    <row r="541" spans="1:22">
      <c r="A541" s="1" t="s">
        <v>561</v>
      </c>
      <c r="B541">
        <f>HYPERLINK("https://www.suredividend.com/sure-analysis-WPP/","WPP Plc.")</f>
        <v>0</v>
      </c>
      <c r="C541">
        <v>74.33</v>
      </c>
      <c r="D541">
        <v>72</v>
      </c>
      <c r="E541">
        <v>1.032361111111111</v>
      </c>
      <c r="F541">
        <v>0.02609982510426476</v>
      </c>
      <c r="G541">
        <v>-0.006349460384693195</v>
      </c>
      <c r="H541">
        <v>0.03</v>
      </c>
      <c r="I541">
        <v>0.04895490165455163</v>
      </c>
      <c r="J541" t="s">
        <v>514</v>
      </c>
      <c r="K541" t="s">
        <v>514</v>
      </c>
      <c r="L541">
        <v>5.15</v>
      </c>
      <c r="M541">
        <v>1.94</v>
      </c>
      <c r="N541">
        <v>0.3766990291262136</v>
      </c>
      <c r="O541">
        <v>0</v>
      </c>
      <c r="P541">
        <v>0.03997297703182556</v>
      </c>
      <c r="Q541">
        <v>0.6206479965682971</v>
      </c>
      <c r="R541" t="s">
        <v>779</v>
      </c>
      <c r="S541" t="s">
        <v>783</v>
      </c>
      <c r="T541">
        <v>17464.403409</v>
      </c>
      <c r="U541" s="2">
        <v>44413</v>
      </c>
      <c r="V541" t="s">
        <v>798</v>
      </c>
    </row>
    <row r="542" spans="1:22">
      <c r="A542" s="1" t="s">
        <v>562</v>
      </c>
      <c r="B542">
        <f>HYPERLINK("https://www.suredividend.com/sure-analysis-BBD/","Banco Bradesco S.A.")</f>
        <v>0</v>
      </c>
      <c r="C542">
        <v>3.71</v>
      </c>
      <c r="D542">
        <v>3.5</v>
      </c>
      <c r="E542">
        <v>1.06</v>
      </c>
      <c r="F542">
        <v>0.0646900269541779</v>
      </c>
      <c r="G542">
        <v>-0.011586139329545</v>
      </c>
      <c r="H542">
        <v>0</v>
      </c>
      <c r="I542">
        <v>0.04844291603386242</v>
      </c>
      <c r="J542" t="s">
        <v>514</v>
      </c>
      <c r="K542" t="s">
        <v>776</v>
      </c>
      <c r="L542">
        <v>0.5</v>
      </c>
      <c r="M542">
        <v>0.24</v>
      </c>
      <c r="N542">
        <v>0.48</v>
      </c>
      <c r="O542">
        <v>0</v>
      </c>
      <c r="P542">
        <v>0</v>
      </c>
      <c r="Q542">
        <v>-0.044328060039954</v>
      </c>
      <c r="R542" t="s">
        <v>779</v>
      </c>
      <c r="S542" t="s">
        <v>790</v>
      </c>
      <c r="T542">
        <v>32311.192609</v>
      </c>
      <c r="U542" s="2">
        <v>44506</v>
      </c>
      <c r="V542" t="s">
        <v>794</v>
      </c>
    </row>
    <row r="543" spans="1:22">
      <c r="A543" s="1" t="s">
        <v>563</v>
      </c>
      <c r="B543">
        <f>HYPERLINK("https://www.suredividend.com/sure-analysis-AVGO/","Broadcom Inc")</f>
        <v>0</v>
      </c>
      <c r="C543">
        <v>548.77</v>
      </c>
      <c r="D543">
        <v>420</v>
      </c>
      <c r="E543">
        <v>1.306595238095238</v>
      </c>
      <c r="F543">
        <v>0.02624050148513949</v>
      </c>
      <c r="G543">
        <v>-0.05207978321992224</v>
      </c>
      <c r="H543">
        <v>0.075</v>
      </c>
      <c r="I543">
        <v>0.04814081252970226</v>
      </c>
      <c r="J543" t="s">
        <v>514</v>
      </c>
      <c r="K543" t="s">
        <v>514</v>
      </c>
      <c r="L543">
        <v>28</v>
      </c>
      <c r="M543">
        <v>14.4</v>
      </c>
      <c r="N543">
        <v>0.5142857142857143</v>
      </c>
      <c r="O543">
        <v>10</v>
      </c>
      <c r="P543">
        <v>0.08001710619661218</v>
      </c>
      <c r="Q543">
        <v>0.5326613766310631</v>
      </c>
      <c r="R543" t="s">
        <v>779</v>
      </c>
      <c r="S543" t="s">
        <v>785</v>
      </c>
      <c r="T543">
        <v>229599.565446</v>
      </c>
      <c r="U543" s="2">
        <v>44453</v>
      </c>
      <c r="V543" t="s">
        <v>797</v>
      </c>
    </row>
    <row r="544" spans="1:22">
      <c r="A544" s="1" t="s">
        <v>564</v>
      </c>
      <c r="B544">
        <f>HYPERLINK("https://www.suredividend.com/sure-analysis-CCI/","Crown Castle International Corp")</f>
        <v>0</v>
      </c>
      <c r="C544">
        <v>180.34</v>
      </c>
      <c r="D544">
        <v>152</v>
      </c>
      <c r="E544">
        <v>1.186447368421053</v>
      </c>
      <c r="F544">
        <v>0.03260507929466563</v>
      </c>
      <c r="G544">
        <v>-0.03361472361372619</v>
      </c>
      <c r="H544">
        <v>0.05</v>
      </c>
      <c r="I544">
        <v>0.04810695941622756</v>
      </c>
      <c r="J544" t="s">
        <v>514</v>
      </c>
      <c r="K544" t="s">
        <v>370</v>
      </c>
      <c r="L544">
        <v>6.35</v>
      </c>
      <c r="M544">
        <v>5.88</v>
      </c>
      <c r="N544">
        <v>0.925984251968504</v>
      </c>
      <c r="O544">
        <v>7</v>
      </c>
      <c r="P544">
        <v>0.04987304960985517</v>
      </c>
      <c r="Q544">
        <v>0.152775776984259</v>
      </c>
      <c r="R544" t="s">
        <v>781</v>
      </c>
      <c r="S544" t="s">
        <v>793</v>
      </c>
      <c r="T544">
        <v>78163.95740100001</v>
      </c>
      <c r="U544" s="2">
        <v>44493</v>
      </c>
      <c r="V544" t="s">
        <v>798</v>
      </c>
    </row>
    <row r="545" spans="1:22">
      <c r="A545" s="1" t="s">
        <v>565</v>
      </c>
      <c r="B545">
        <f>HYPERLINK("https://www.suredividend.com/sure-analysis-NSP/","Insperity Inc")</f>
        <v>0</v>
      </c>
      <c r="C545">
        <v>120.09</v>
      </c>
      <c r="D545">
        <v>96</v>
      </c>
      <c r="E545">
        <v>1.2509375</v>
      </c>
      <c r="F545">
        <v>0.01498875843117662</v>
      </c>
      <c r="G545">
        <v>-0.04379088856662106</v>
      </c>
      <c r="H545">
        <v>0.08</v>
      </c>
      <c r="I545">
        <v>0.04757444782080178</v>
      </c>
      <c r="J545" t="s">
        <v>514</v>
      </c>
      <c r="K545" t="s">
        <v>777</v>
      </c>
      <c r="L545">
        <v>4.36</v>
      </c>
      <c r="M545">
        <v>1.8</v>
      </c>
      <c r="N545">
        <v>0.4128440366972477</v>
      </c>
      <c r="O545">
        <v>14</v>
      </c>
      <c r="P545">
        <v>0.05024607263868264</v>
      </c>
      <c r="Q545">
        <v>0.341309503548607</v>
      </c>
      <c r="R545" t="s">
        <v>779</v>
      </c>
      <c r="S545" t="s">
        <v>790</v>
      </c>
      <c r="T545">
        <v>4672.956912</v>
      </c>
      <c r="U545" s="2">
        <v>44502</v>
      </c>
      <c r="V545" t="s">
        <v>801</v>
      </c>
    </row>
    <row r="546" spans="1:22">
      <c r="A546" s="1" t="s">
        <v>566</v>
      </c>
      <c r="B546">
        <f>HYPERLINK("https://www.suredividend.com/sure-analysis-BXP/","Boston Properties, Inc.")</f>
        <v>0</v>
      </c>
      <c r="C546">
        <v>117.42</v>
      </c>
      <c r="D546">
        <v>103</v>
      </c>
      <c r="E546">
        <v>1.14</v>
      </c>
      <c r="F546">
        <v>0.03338443195367059</v>
      </c>
      <c r="G546">
        <v>-0.02586526421769075</v>
      </c>
      <c r="H546">
        <v>0.044</v>
      </c>
      <c r="I546">
        <v>0.04729391943166372</v>
      </c>
      <c r="J546" t="s">
        <v>514</v>
      </c>
      <c r="K546" t="s">
        <v>514</v>
      </c>
      <c r="L546">
        <v>6.45</v>
      </c>
      <c r="M546">
        <v>3.92</v>
      </c>
      <c r="N546">
        <v>0.6077519379844961</v>
      </c>
      <c r="O546">
        <v>5</v>
      </c>
      <c r="P546">
        <v>0.01000199077119301</v>
      </c>
      <c r="Q546">
        <v>0.374009920092045</v>
      </c>
      <c r="R546" t="s">
        <v>781</v>
      </c>
      <c r="S546" t="s">
        <v>793</v>
      </c>
      <c r="T546">
        <v>18355.877989</v>
      </c>
      <c r="U546" s="2">
        <v>44503</v>
      </c>
      <c r="V546" t="s">
        <v>803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143.03</v>
      </c>
      <c r="D547">
        <v>112</v>
      </c>
      <c r="E547">
        <v>1.277053571428571</v>
      </c>
      <c r="F547">
        <v>0.01873732783332168</v>
      </c>
      <c r="G547">
        <v>-0.04773422281124839</v>
      </c>
      <c r="H547">
        <v>0.08</v>
      </c>
      <c r="I547">
        <v>0.04718500325577168</v>
      </c>
      <c r="J547" t="s">
        <v>514</v>
      </c>
      <c r="K547" t="s">
        <v>777</v>
      </c>
      <c r="L547">
        <v>5.6</v>
      </c>
      <c r="M547">
        <v>2.68</v>
      </c>
      <c r="N547">
        <v>0.4785714285714286</v>
      </c>
      <c r="O547">
        <v>4</v>
      </c>
      <c r="P547">
        <v>0.04997331683701267</v>
      </c>
      <c r="Q547">
        <v>0.280859397092924</v>
      </c>
      <c r="R547" t="s">
        <v>779</v>
      </c>
      <c r="S547" t="s">
        <v>785</v>
      </c>
      <c r="T547">
        <v>27875.157782</v>
      </c>
      <c r="U547" s="2">
        <v>44410</v>
      </c>
      <c r="V547" t="s">
        <v>798</v>
      </c>
    </row>
    <row r="548" spans="1:22">
      <c r="A548" s="1" t="s">
        <v>568</v>
      </c>
      <c r="B548">
        <f>HYPERLINK("https://www.suredividend.com/sure-analysis-COP/","Conoco Phillips")</f>
        <v>0</v>
      </c>
      <c r="C548">
        <v>73</v>
      </c>
      <c r="D548">
        <v>74</v>
      </c>
      <c r="E548">
        <v>0.9864864864864865</v>
      </c>
      <c r="F548">
        <v>0.0252054794520548</v>
      </c>
      <c r="G548">
        <v>0.002724836046923418</v>
      </c>
      <c r="H548">
        <v>0.02</v>
      </c>
      <c r="I548">
        <v>0.04686021051293698</v>
      </c>
      <c r="J548" t="s">
        <v>514</v>
      </c>
      <c r="K548" t="s">
        <v>514</v>
      </c>
      <c r="L548">
        <v>5.8</v>
      </c>
      <c r="M548">
        <v>1.84</v>
      </c>
      <c r="N548">
        <v>0.3172413793103449</v>
      </c>
      <c r="O548">
        <v>6</v>
      </c>
      <c r="P548">
        <v>0.03066894385040531</v>
      </c>
      <c r="Q548">
        <v>1.339602128651864</v>
      </c>
      <c r="R548" t="s">
        <v>779</v>
      </c>
      <c r="S548" t="s">
        <v>792</v>
      </c>
      <c r="T548">
        <v>99910.225175</v>
      </c>
      <c r="U548" s="2">
        <v>44504</v>
      </c>
      <c r="V548" t="s">
        <v>802</v>
      </c>
    </row>
    <row r="549" spans="1:22">
      <c r="A549" s="1" t="s">
        <v>569</v>
      </c>
      <c r="B549">
        <f>HYPERLINK("https://www.suredividend.com/sure-analysis-CORR/","CorEnergy Infrastructure Trust Inc")</f>
        <v>0</v>
      </c>
      <c r="C549">
        <v>4.75</v>
      </c>
      <c r="D549">
        <v>4.5</v>
      </c>
      <c r="E549">
        <v>1.055555555555556</v>
      </c>
      <c r="F549">
        <v>0.04210526315789474</v>
      </c>
      <c r="G549">
        <v>-0.01075518913431428</v>
      </c>
      <c r="H549">
        <v>0.02</v>
      </c>
      <c r="I549">
        <v>0.0467243634718788</v>
      </c>
      <c r="J549" t="s">
        <v>514</v>
      </c>
      <c r="K549" t="s">
        <v>370</v>
      </c>
      <c r="L549">
        <v>0.45</v>
      </c>
      <c r="M549">
        <v>0.2</v>
      </c>
      <c r="N549">
        <v>0.4444444444444445</v>
      </c>
      <c r="O549">
        <v>0</v>
      </c>
      <c r="P549">
        <v>0</v>
      </c>
      <c r="Q549">
        <v>0.16728678777267</v>
      </c>
      <c r="R549" t="s">
        <v>779</v>
      </c>
      <c r="S549" t="s">
        <v>793</v>
      </c>
      <c r="T549">
        <v>71.186736</v>
      </c>
      <c r="U549" s="2">
        <v>44418</v>
      </c>
      <c r="V549" t="s">
        <v>795</v>
      </c>
    </row>
    <row r="550" spans="1:22">
      <c r="A550" s="1" t="s">
        <v>570</v>
      </c>
      <c r="B550">
        <f>HYPERLINK("https://www.suredividend.com/sure-analysis-TJX/","TJX Companies, Inc.")</f>
        <v>0</v>
      </c>
      <c r="C550">
        <v>68.95999999999999</v>
      </c>
      <c r="D550">
        <v>51</v>
      </c>
      <c r="E550">
        <v>1.352156862745098</v>
      </c>
      <c r="F550">
        <v>0.01508120649651972</v>
      </c>
      <c r="G550">
        <v>-0.05855579901901675</v>
      </c>
      <c r="H550">
        <v>0.09</v>
      </c>
      <c r="I550">
        <v>0.04379148149832268</v>
      </c>
      <c r="J550" t="s">
        <v>514</v>
      </c>
      <c r="K550" t="s">
        <v>777</v>
      </c>
      <c r="L550">
        <v>2.36</v>
      </c>
      <c r="M550">
        <v>1.04</v>
      </c>
      <c r="N550">
        <v>0.440677966101695</v>
      </c>
      <c r="O550">
        <v>0</v>
      </c>
      <c r="P550">
        <v>0.09935163429189564</v>
      </c>
      <c r="Q550">
        <v>0.161190119885214</v>
      </c>
      <c r="R550" t="s">
        <v>779</v>
      </c>
      <c r="S550" t="s">
        <v>788</v>
      </c>
      <c r="T550">
        <v>83792.931247</v>
      </c>
      <c r="U550" s="2">
        <v>44429</v>
      </c>
      <c r="V550" t="s">
        <v>804</v>
      </c>
    </row>
    <row r="551" spans="1:22">
      <c r="A551" s="1" t="s">
        <v>571</v>
      </c>
      <c r="B551">
        <f>HYPERLINK("https://www.suredividend.com/sure-analysis-TS/","Tenaris S.A.")</f>
        <v>0</v>
      </c>
      <c r="C551">
        <v>23.83</v>
      </c>
      <c r="D551">
        <v>17</v>
      </c>
      <c r="E551">
        <v>1.401764705882353</v>
      </c>
      <c r="F551">
        <v>0.01762484263533361</v>
      </c>
      <c r="G551">
        <v>-0.06531563984653055</v>
      </c>
      <c r="H551">
        <v>0.1</v>
      </c>
      <c r="I551">
        <v>0.04346231409048285</v>
      </c>
      <c r="J551" t="s">
        <v>514</v>
      </c>
      <c r="K551" t="s">
        <v>777</v>
      </c>
      <c r="L551">
        <v>1</v>
      </c>
      <c r="M551">
        <v>0.42</v>
      </c>
      <c r="N551">
        <v>0.42</v>
      </c>
      <c r="O551">
        <v>0</v>
      </c>
      <c r="P551">
        <v>0</v>
      </c>
      <c r="Q551">
        <v>0.9855890944498531</v>
      </c>
      <c r="R551" t="s">
        <v>779</v>
      </c>
      <c r="S551" t="s">
        <v>792</v>
      </c>
      <c r="T551">
        <v>15045.941898</v>
      </c>
      <c r="U551" s="2">
        <v>44413</v>
      </c>
      <c r="V551" t="s">
        <v>798</v>
      </c>
    </row>
    <row r="552" spans="1:22">
      <c r="A552" s="1" t="s">
        <v>572</v>
      </c>
      <c r="B552">
        <f>HYPERLINK("https://www.suredividend.com/sure-analysis-REG/","Regency Centers Corporation")</f>
        <v>0</v>
      </c>
      <c r="C552">
        <v>74.36</v>
      </c>
      <c r="D552">
        <v>65</v>
      </c>
      <c r="E552">
        <v>1.144</v>
      </c>
      <c r="F552">
        <v>0.03200645508337816</v>
      </c>
      <c r="G552">
        <v>-0.02654743206890564</v>
      </c>
      <c r="H552">
        <v>0.04</v>
      </c>
      <c r="I552">
        <v>0.04286298982592451</v>
      </c>
      <c r="J552" t="s">
        <v>514</v>
      </c>
      <c r="K552" t="s">
        <v>514</v>
      </c>
      <c r="L552">
        <v>3.54</v>
      </c>
      <c r="M552">
        <v>2.38</v>
      </c>
      <c r="N552">
        <v>0.6723163841807909</v>
      </c>
      <c r="O552">
        <v>8</v>
      </c>
      <c r="P552">
        <v>0.02017754074271805</v>
      </c>
      <c r="Q552">
        <v>0.669770582131415</v>
      </c>
      <c r="R552" t="s">
        <v>781</v>
      </c>
      <c r="S552" t="s">
        <v>793</v>
      </c>
      <c r="T552">
        <v>12618.398321</v>
      </c>
      <c r="U552" s="2">
        <v>44416</v>
      </c>
      <c r="V552" t="s">
        <v>794</v>
      </c>
    </row>
    <row r="553" spans="1:22">
      <c r="A553" s="1" t="s">
        <v>573</v>
      </c>
      <c r="B553">
        <f>HYPERLINK("https://www.suredividend.com/sure-analysis-USB/","U.S. Bancorp.")</f>
        <v>0</v>
      </c>
      <c r="C553">
        <v>60.49</v>
      </c>
      <c r="D553">
        <v>62</v>
      </c>
      <c r="E553">
        <v>0.9756451612903226</v>
      </c>
      <c r="F553">
        <v>0.03041825095057034</v>
      </c>
      <c r="G553">
        <v>0.00494344328101981</v>
      </c>
      <c r="H553">
        <v>0</v>
      </c>
      <c r="I553">
        <v>0.03827806531432643</v>
      </c>
      <c r="J553" t="s">
        <v>514</v>
      </c>
      <c r="K553" t="s">
        <v>370</v>
      </c>
      <c r="L553">
        <v>5.15</v>
      </c>
      <c r="M553">
        <v>1.84</v>
      </c>
      <c r="N553">
        <v>0.3572815533980582</v>
      </c>
      <c r="O553">
        <v>10</v>
      </c>
      <c r="P553">
        <v>0.05979888147511248</v>
      </c>
      <c r="Q553">
        <v>0.404088616293692</v>
      </c>
      <c r="R553" t="s">
        <v>779</v>
      </c>
      <c r="S553" t="s">
        <v>790</v>
      </c>
      <c r="T553">
        <v>89071.65657799999</v>
      </c>
      <c r="U553" s="2">
        <v>44491</v>
      </c>
      <c r="V553" t="s">
        <v>798</v>
      </c>
    </row>
    <row r="554" spans="1:22">
      <c r="A554" s="1" t="s">
        <v>574</v>
      </c>
      <c r="B554">
        <f>HYPERLINK("https://www.suredividend.com/sure-analysis-HMC/","Honda Motor")</f>
        <v>0</v>
      </c>
      <c r="C554">
        <v>28.7</v>
      </c>
      <c r="D554">
        <v>25</v>
      </c>
      <c r="E554">
        <v>1.148</v>
      </c>
      <c r="F554">
        <v>0.03484320557491289</v>
      </c>
      <c r="G554">
        <v>-0.02722674366441158</v>
      </c>
      <c r="H554">
        <v>0.029</v>
      </c>
      <c r="I554">
        <v>0.03619029277171348</v>
      </c>
      <c r="J554" t="s">
        <v>514</v>
      </c>
      <c r="K554" t="s">
        <v>370</v>
      </c>
      <c r="L554">
        <v>2.93</v>
      </c>
      <c r="M554">
        <v>1</v>
      </c>
      <c r="N554">
        <v>0.341296928327645</v>
      </c>
      <c r="O554">
        <v>0</v>
      </c>
      <c r="P554">
        <v>0.02834672210021361</v>
      </c>
      <c r="Q554">
        <v>0.109632441342598</v>
      </c>
      <c r="R554" t="s">
        <v>779</v>
      </c>
      <c r="S554" t="s">
        <v>788</v>
      </c>
      <c r="T554">
        <v>53165.424421</v>
      </c>
      <c r="U554" s="2">
        <v>44507</v>
      </c>
      <c r="V554" t="s">
        <v>795</v>
      </c>
    </row>
    <row r="555" spans="1:22">
      <c r="A555" s="1" t="s">
        <v>575</v>
      </c>
      <c r="B555">
        <f>HYPERLINK("https://www.suredividend.com/sure-analysis-STX/","Seagate Technology Holdings Plc")</f>
        <v>0</v>
      </c>
      <c r="C555">
        <v>99.02</v>
      </c>
      <c r="D555">
        <v>89</v>
      </c>
      <c r="E555">
        <v>1.112584269662921</v>
      </c>
      <c r="F555">
        <v>0.02827711573419511</v>
      </c>
      <c r="G555">
        <v>-0.02111107063610662</v>
      </c>
      <c r="H555">
        <v>0.03</v>
      </c>
      <c r="I555">
        <v>0.03616317365207777</v>
      </c>
      <c r="J555" t="s">
        <v>514</v>
      </c>
      <c r="K555" t="s">
        <v>514</v>
      </c>
      <c r="L555">
        <v>8.9</v>
      </c>
      <c r="M555">
        <v>2.8</v>
      </c>
      <c r="N555">
        <v>0.3146067415730337</v>
      </c>
      <c r="O555">
        <v>3</v>
      </c>
      <c r="P555">
        <v>0.02513307572787737</v>
      </c>
      <c r="Q555">
        <v>0.00540930254223</v>
      </c>
      <c r="R555" t="s">
        <v>779</v>
      </c>
      <c r="S555" t="s">
        <v>785</v>
      </c>
      <c r="T555">
        <v>22105.522979</v>
      </c>
      <c r="U555" s="2">
        <v>44507</v>
      </c>
      <c r="V555" t="s">
        <v>797</v>
      </c>
    </row>
    <row r="556" spans="1:22">
      <c r="A556" s="1" t="s">
        <v>576</v>
      </c>
      <c r="B556">
        <f>HYPERLINK("https://www.suredividend.com/sure-analysis-ING/","ING Groep N.V.")</f>
        <v>0</v>
      </c>
      <c r="C556">
        <v>15.17</v>
      </c>
      <c r="D556">
        <v>13.3</v>
      </c>
      <c r="E556">
        <v>1.140601503759398</v>
      </c>
      <c r="F556">
        <v>0.04680290046143704</v>
      </c>
      <c r="G556">
        <v>-0.02596802917878638</v>
      </c>
      <c r="H556">
        <v>0.01</v>
      </c>
      <c r="I556">
        <v>0.03604796304101399</v>
      </c>
      <c r="J556" t="s">
        <v>514</v>
      </c>
      <c r="K556" t="s">
        <v>370</v>
      </c>
      <c r="L556">
        <v>1.33</v>
      </c>
      <c r="M556">
        <v>0.71</v>
      </c>
      <c r="N556">
        <v>0.5338345864661653</v>
      </c>
      <c r="O556">
        <v>0</v>
      </c>
      <c r="P556">
        <v>0.05088842545712402</v>
      </c>
      <c r="Q556">
        <v>0.9299472379378291</v>
      </c>
      <c r="R556" t="s">
        <v>779</v>
      </c>
      <c r="S556" t="s">
        <v>790</v>
      </c>
      <c r="T556">
        <v>59263.153374</v>
      </c>
      <c r="U556" s="2">
        <v>44416</v>
      </c>
      <c r="V556" t="s">
        <v>794</v>
      </c>
    </row>
    <row r="557" spans="1:22">
      <c r="A557" s="1" t="s">
        <v>577</v>
      </c>
      <c r="B557">
        <f>HYPERLINK("https://www.suredividend.com/sure-analysis-SUUIF/","Superior Plus Corp.")</f>
        <v>0</v>
      </c>
      <c r="C557">
        <v>11.29</v>
      </c>
      <c r="D557">
        <v>10.6</v>
      </c>
      <c r="E557">
        <v>1.065094339622642</v>
      </c>
      <c r="F557">
        <v>0.05048715677590788</v>
      </c>
      <c r="G557">
        <v>-0.01253346896963814</v>
      </c>
      <c r="H557">
        <v>0</v>
      </c>
      <c r="I557">
        <v>0.03563249420166703</v>
      </c>
      <c r="J557" t="s">
        <v>514</v>
      </c>
      <c r="K557" t="s">
        <v>776</v>
      </c>
      <c r="L557">
        <v>1.75</v>
      </c>
      <c r="M557">
        <v>0.57</v>
      </c>
      <c r="N557">
        <v>0.3257142857142857</v>
      </c>
      <c r="O557">
        <v>0</v>
      </c>
      <c r="P557">
        <v>0</v>
      </c>
      <c r="Q557">
        <v>0.186959218646509</v>
      </c>
      <c r="R557" t="s">
        <v>779</v>
      </c>
      <c r="S557" t="s">
        <v>791</v>
      </c>
      <c r="T557">
        <v>1987.510646</v>
      </c>
      <c r="U557" s="2">
        <v>44422</v>
      </c>
      <c r="V557" t="s">
        <v>794</v>
      </c>
    </row>
    <row r="558" spans="1:22">
      <c r="A558" s="1" t="s">
        <v>578</v>
      </c>
      <c r="B558">
        <f>HYPERLINK("https://www.suredividend.com/sure-analysis-DOC/","Physicians Realty Trust")</f>
        <v>0</v>
      </c>
      <c r="C558">
        <v>18.54</v>
      </c>
      <c r="D558">
        <v>16</v>
      </c>
      <c r="E558">
        <v>1.15875</v>
      </c>
      <c r="F558">
        <v>0.04962243797195254</v>
      </c>
      <c r="G558">
        <v>-0.02903840897932408</v>
      </c>
      <c r="H558">
        <v>0.017</v>
      </c>
      <c r="I558">
        <v>0.03488085363596438</v>
      </c>
      <c r="J558" t="s">
        <v>514</v>
      </c>
      <c r="K558" t="s">
        <v>776</v>
      </c>
      <c r="L558">
        <v>1.06</v>
      </c>
      <c r="M558">
        <v>0.92</v>
      </c>
      <c r="N558">
        <v>0.8679245283018868</v>
      </c>
      <c r="O558">
        <v>0</v>
      </c>
      <c r="P558">
        <v>0</v>
      </c>
      <c r="Q558">
        <v>0.09310281666006801</v>
      </c>
      <c r="R558" t="s">
        <v>781</v>
      </c>
      <c r="S558" t="s">
        <v>793</v>
      </c>
      <c r="T558">
        <v>4075.355454</v>
      </c>
      <c r="U558" s="2">
        <v>44506</v>
      </c>
      <c r="V558" t="s">
        <v>795</v>
      </c>
    </row>
    <row r="559" spans="1:22">
      <c r="A559" s="1" t="s">
        <v>579</v>
      </c>
      <c r="B559">
        <f>HYPERLINK("https://www.suredividend.com/sure-analysis-TU/","Telus Corp.")</f>
        <v>0</v>
      </c>
      <c r="C559">
        <v>23.39</v>
      </c>
      <c r="D559">
        <v>15</v>
      </c>
      <c r="E559">
        <v>1.559333333333333</v>
      </c>
      <c r="F559">
        <v>0.0440359127832407</v>
      </c>
      <c r="G559">
        <v>-0.08501872271427169</v>
      </c>
      <c r="H559">
        <v>0.08</v>
      </c>
      <c r="I559">
        <v>0.03410952011932178</v>
      </c>
      <c r="J559" t="s">
        <v>514</v>
      </c>
      <c r="K559" t="s">
        <v>370</v>
      </c>
      <c r="L559">
        <v>0.95</v>
      </c>
      <c r="M559">
        <v>1.03</v>
      </c>
      <c r="N559">
        <v>1.08421052631579</v>
      </c>
      <c r="O559">
        <v>13</v>
      </c>
      <c r="P559">
        <v>0.02929993970978573</v>
      </c>
      <c r="Q559">
        <v>0.331769212896059</v>
      </c>
      <c r="R559" t="s">
        <v>779</v>
      </c>
      <c r="S559" t="s">
        <v>783</v>
      </c>
      <c r="T559">
        <v>31978.443153</v>
      </c>
      <c r="U559" s="2">
        <v>44439</v>
      </c>
      <c r="V559" t="s">
        <v>802</v>
      </c>
    </row>
    <row r="560" spans="1:22">
      <c r="A560" s="1" t="s">
        <v>580</v>
      </c>
      <c r="B560">
        <f>HYPERLINK("https://www.suredividend.com/sure-analysis-TSM/","Taiwan Semiconductor Manufacturing")</f>
        <v>0</v>
      </c>
      <c r="C560">
        <v>118.2</v>
      </c>
      <c r="D560">
        <v>72</v>
      </c>
      <c r="E560">
        <v>1.641666666666667</v>
      </c>
      <c r="F560">
        <v>0.01692047377326565</v>
      </c>
      <c r="G560">
        <v>-0.09438625801159506</v>
      </c>
      <c r="H560">
        <v>0.12</v>
      </c>
      <c r="I560">
        <v>0.03378745380354631</v>
      </c>
      <c r="J560" t="s">
        <v>514</v>
      </c>
      <c r="K560" t="s">
        <v>777</v>
      </c>
      <c r="L560">
        <v>4.05</v>
      </c>
      <c r="M560">
        <v>2</v>
      </c>
      <c r="N560">
        <v>0.4938271604938272</v>
      </c>
      <c r="O560">
        <v>7</v>
      </c>
      <c r="P560">
        <v>0.08009875865888949</v>
      </c>
      <c r="Q560">
        <v>0.389781261804524</v>
      </c>
      <c r="R560" t="s">
        <v>779</v>
      </c>
      <c r="S560" t="s">
        <v>785</v>
      </c>
      <c r="T560">
        <v>631560.346484</v>
      </c>
      <c r="U560" s="2">
        <v>44490</v>
      </c>
      <c r="V560" t="s">
        <v>802</v>
      </c>
    </row>
    <row r="561" spans="1:22">
      <c r="A561" s="1" t="s">
        <v>581</v>
      </c>
      <c r="B561">
        <f>HYPERLINK("https://www.suredividend.com/sure-analysis-GEL/","Genesis Energy L.P.")</f>
        <v>0</v>
      </c>
      <c r="C561">
        <v>12.86</v>
      </c>
      <c r="D561">
        <v>10</v>
      </c>
      <c r="E561">
        <v>1.286</v>
      </c>
      <c r="F561">
        <v>0.04665629860031104</v>
      </c>
      <c r="G561">
        <v>-0.04906286732068599</v>
      </c>
      <c r="H561">
        <v>0.04</v>
      </c>
      <c r="I561">
        <v>0.03354418149822314</v>
      </c>
      <c r="J561" t="s">
        <v>514</v>
      </c>
      <c r="K561" t="s">
        <v>776</v>
      </c>
      <c r="L561">
        <v>2</v>
      </c>
      <c r="M561">
        <v>0.6</v>
      </c>
      <c r="N561">
        <v>0.3</v>
      </c>
      <c r="O561">
        <v>0</v>
      </c>
      <c r="P561">
        <v>0</v>
      </c>
      <c r="Q561">
        <v>1.775377742187005</v>
      </c>
      <c r="R561" t="s">
        <v>780</v>
      </c>
      <c r="S561" t="s">
        <v>792</v>
      </c>
      <c r="T561">
        <v>1613.841541</v>
      </c>
      <c r="U561" s="2">
        <v>44434</v>
      </c>
      <c r="V561" t="s">
        <v>802</v>
      </c>
    </row>
    <row r="562" spans="1:22">
      <c r="A562" s="1" t="s">
        <v>582</v>
      </c>
      <c r="B562">
        <f>HYPERLINK("https://www.suredividend.com/sure-analysis-KRG/","Kite Realty Group Trust")</f>
        <v>0</v>
      </c>
      <c r="C562">
        <v>21.64</v>
      </c>
      <c r="D562">
        <v>17</v>
      </c>
      <c r="E562">
        <v>1.272941176470588</v>
      </c>
      <c r="F562">
        <v>0.033271719038817</v>
      </c>
      <c r="G562">
        <v>-0.04711973374139389</v>
      </c>
      <c r="H562">
        <v>0.05</v>
      </c>
      <c r="I562">
        <v>0.03268940395626529</v>
      </c>
      <c r="J562" t="s">
        <v>514</v>
      </c>
      <c r="K562" t="s">
        <v>514</v>
      </c>
      <c r="L562">
        <v>1.32</v>
      </c>
      <c r="M562">
        <v>0.72</v>
      </c>
      <c r="N562">
        <v>0.5454545454545454</v>
      </c>
      <c r="O562">
        <v>1</v>
      </c>
      <c r="P562">
        <v>0.01087212085035083</v>
      </c>
      <c r="Q562">
        <v>0.7388991003192411</v>
      </c>
      <c r="R562" t="s">
        <v>781</v>
      </c>
      <c r="S562" t="s">
        <v>793</v>
      </c>
      <c r="T562">
        <v>4724.21688</v>
      </c>
      <c r="U562" s="2">
        <v>44426</v>
      </c>
      <c r="V562" t="s">
        <v>801</v>
      </c>
    </row>
    <row r="563" spans="1:22">
      <c r="A563" s="1" t="s">
        <v>583</v>
      </c>
      <c r="B563">
        <f>HYPERLINK("https://www.suredividend.com/sure-analysis-CODI/","Compass Diversified Holdings")</f>
        <v>0</v>
      </c>
      <c r="C563">
        <v>31.05</v>
      </c>
      <c r="D563">
        <v>24</v>
      </c>
      <c r="E563">
        <v>1.29375</v>
      </c>
      <c r="F563">
        <v>0.0463768115942029</v>
      </c>
      <c r="G563">
        <v>-0.05020489405907647</v>
      </c>
      <c r="H563">
        <v>0.04</v>
      </c>
      <c r="I563">
        <v>0.03230294792976096</v>
      </c>
      <c r="J563" t="s">
        <v>514</v>
      </c>
      <c r="K563" t="s">
        <v>370</v>
      </c>
      <c r="L563">
        <v>2.4</v>
      </c>
      <c r="M563">
        <v>1.44</v>
      </c>
      <c r="N563">
        <v>0.6</v>
      </c>
      <c r="O563">
        <v>0</v>
      </c>
      <c r="P563">
        <v>0</v>
      </c>
      <c r="Q563">
        <v>0.8711193657548491</v>
      </c>
      <c r="R563" t="s">
        <v>779</v>
      </c>
      <c r="S563" t="s">
        <v>786</v>
      </c>
      <c r="T563">
        <v>2053.045135</v>
      </c>
      <c r="U563" s="2">
        <v>44504</v>
      </c>
      <c r="V563" t="s">
        <v>797</v>
      </c>
    </row>
    <row r="564" spans="1:22">
      <c r="A564" s="1" t="s">
        <v>584</v>
      </c>
      <c r="B564">
        <f>HYPERLINK("https://www.suredividend.com/sure-analysis-WRK/","WestRock Co")</f>
        <v>0</v>
      </c>
      <c r="C564">
        <v>49.03</v>
      </c>
      <c r="D564">
        <v>38</v>
      </c>
      <c r="E564">
        <v>1.290263157894737</v>
      </c>
      <c r="F564">
        <v>0.02039567611666327</v>
      </c>
      <c r="G564">
        <v>-0.04969209767383009</v>
      </c>
      <c r="H564">
        <v>0.06</v>
      </c>
      <c r="I564">
        <v>0.0312694185093576</v>
      </c>
      <c r="J564" t="s">
        <v>514</v>
      </c>
      <c r="K564" t="s">
        <v>514</v>
      </c>
      <c r="L564">
        <v>3.45</v>
      </c>
      <c r="M564">
        <v>1</v>
      </c>
      <c r="N564">
        <v>0.2898550724637681</v>
      </c>
      <c r="O564">
        <v>2</v>
      </c>
      <c r="P564">
        <v>0.08009875865888949</v>
      </c>
      <c r="Q564">
        <v>0.228288690966928</v>
      </c>
      <c r="R564" t="s">
        <v>779</v>
      </c>
      <c r="S564" t="s">
        <v>788</v>
      </c>
      <c r="T564">
        <v>12928.435507</v>
      </c>
      <c r="U564" s="2">
        <v>44435</v>
      </c>
      <c r="V564" t="s">
        <v>802</v>
      </c>
    </row>
    <row r="565" spans="1:22">
      <c r="A565" s="1" t="s">
        <v>585</v>
      </c>
      <c r="B565">
        <f>HYPERLINK("https://www.suredividend.com/sure-analysis-EGP/","Eastgroup Properties, Inc.")</f>
        <v>0</v>
      </c>
      <c r="C565">
        <v>200.54</v>
      </c>
      <c r="D565">
        <v>145</v>
      </c>
      <c r="E565">
        <v>1.383034482758621</v>
      </c>
      <c r="F565">
        <v>0.01795153086666002</v>
      </c>
      <c r="G565">
        <v>-0.06279758650684186</v>
      </c>
      <c r="H565">
        <v>0.075</v>
      </c>
      <c r="I565">
        <v>0.02807844930248637</v>
      </c>
      <c r="J565" t="s">
        <v>514</v>
      </c>
      <c r="K565" t="s">
        <v>777</v>
      </c>
      <c r="L565">
        <v>6.05</v>
      </c>
      <c r="M565">
        <v>3.6</v>
      </c>
      <c r="N565">
        <v>0.5950413223140496</v>
      </c>
      <c r="O565">
        <v>11</v>
      </c>
      <c r="P565">
        <v>0.07003448782339894</v>
      </c>
      <c r="Q565">
        <v>0.501517648341795</v>
      </c>
      <c r="R565" t="s">
        <v>781</v>
      </c>
      <c r="S565" t="s">
        <v>793</v>
      </c>
      <c r="T565">
        <v>8066.470808</v>
      </c>
      <c r="U565" s="2">
        <v>44500</v>
      </c>
      <c r="V565" t="s">
        <v>794</v>
      </c>
    </row>
    <row r="566" spans="1:22">
      <c r="A566" s="1" t="s">
        <v>586</v>
      </c>
      <c r="B566">
        <f>HYPERLINK("https://www.suredividend.com/sure-analysis-PLD/","Prologis Inc")</f>
        <v>0</v>
      </c>
      <c r="C566">
        <v>148.77</v>
      </c>
      <c r="D566">
        <v>99</v>
      </c>
      <c r="E566">
        <v>1.502727272727273</v>
      </c>
      <c r="F566">
        <v>0.01693889897156685</v>
      </c>
      <c r="G566">
        <v>-0.07822703517822793</v>
      </c>
      <c r="H566">
        <v>0.09</v>
      </c>
      <c r="I566">
        <v>0.02495536016613276</v>
      </c>
      <c r="J566" t="s">
        <v>514</v>
      </c>
      <c r="K566" t="s">
        <v>777</v>
      </c>
      <c r="L566">
        <v>4.21</v>
      </c>
      <c r="M566">
        <v>2.52</v>
      </c>
      <c r="N566">
        <v>0.5985748218527316</v>
      </c>
      <c r="O566">
        <v>8</v>
      </c>
      <c r="P566">
        <v>0.07984205343909734</v>
      </c>
      <c r="Q566">
        <v>0.523095233209529</v>
      </c>
      <c r="R566" t="s">
        <v>781</v>
      </c>
      <c r="S566" t="s">
        <v>793</v>
      </c>
      <c r="T566">
        <v>109753.09315</v>
      </c>
      <c r="U566" s="2">
        <v>44486</v>
      </c>
      <c r="V566" t="s">
        <v>794</v>
      </c>
    </row>
    <row r="567" spans="1:22">
      <c r="A567" s="1" t="s">
        <v>587</v>
      </c>
      <c r="B567">
        <f>HYPERLINK("https://www.suredividend.com/sure-analysis-MPWR/","Monolithic Power System Inc")</f>
        <v>0</v>
      </c>
      <c r="C567">
        <v>537.6</v>
      </c>
      <c r="D567">
        <v>266</v>
      </c>
      <c r="E567">
        <v>2.021052631578947</v>
      </c>
      <c r="F567">
        <v>0.004464285714285714</v>
      </c>
      <c r="G567">
        <v>-0.1312706881507998</v>
      </c>
      <c r="H567">
        <v>0.17</v>
      </c>
      <c r="I567">
        <v>0.02377470960876993</v>
      </c>
      <c r="J567" t="s">
        <v>514</v>
      </c>
      <c r="K567" t="s">
        <v>777</v>
      </c>
      <c r="L567">
        <v>7.2</v>
      </c>
      <c r="M567">
        <v>2.4</v>
      </c>
      <c r="N567">
        <v>0.3333333333333333</v>
      </c>
      <c r="O567">
        <v>4</v>
      </c>
      <c r="P567">
        <v>0.1999209000665154</v>
      </c>
      <c r="Q567">
        <v>0.7573784525150291</v>
      </c>
      <c r="R567" t="s">
        <v>779</v>
      </c>
      <c r="S567" t="s">
        <v>785</v>
      </c>
      <c r="T567">
        <v>25415.3424</v>
      </c>
      <c r="U567" s="2">
        <v>44500</v>
      </c>
      <c r="V567" t="s">
        <v>794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18.09</v>
      </c>
      <c r="D568">
        <v>16</v>
      </c>
      <c r="E568">
        <v>1.130625</v>
      </c>
      <c r="F568">
        <v>0.02045328911000553</v>
      </c>
      <c r="G568">
        <v>-0.02425511536774538</v>
      </c>
      <c r="H568">
        <v>0.02</v>
      </c>
      <c r="I568">
        <v>0.0177039368381442</v>
      </c>
      <c r="J568" t="s">
        <v>514</v>
      </c>
      <c r="K568" t="s">
        <v>514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0.389351585450801</v>
      </c>
      <c r="R568" t="s">
        <v>779</v>
      </c>
      <c r="S568" t="s">
        <v>790</v>
      </c>
      <c r="T568">
        <v>67939.461958</v>
      </c>
      <c r="U568" s="2">
        <v>44498</v>
      </c>
      <c r="V568" t="s">
        <v>802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8.67</v>
      </c>
      <c r="D569">
        <v>7</v>
      </c>
      <c r="E569">
        <v>1.238571428571429</v>
      </c>
      <c r="F569">
        <v>0.03114186851211073</v>
      </c>
      <c r="G569">
        <v>-0.04188908336759944</v>
      </c>
      <c r="H569">
        <v>0.03</v>
      </c>
      <c r="I569">
        <v>0.01769948895306839</v>
      </c>
      <c r="J569" t="s">
        <v>514</v>
      </c>
      <c r="K569" t="s">
        <v>514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0.130518645520788</v>
      </c>
      <c r="R569" t="s">
        <v>779</v>
      </c>
      <c r="S569" t="s">
        <v>783</v>
      </c>
      <c r="T569">
        <v>6387.126841</v>
      </c>
      <c r="U569" s="2">
        <v>44502</v>
      </c>
      <c r="V569" t="s">
        <v>797</v>
      </c>
    </row>
    <row r="570" spans="1:22">
      <c r="A570" s="1" t="s">
        <v>590</v>
      </c>
      <c r="B570">
        <f>HYPERLINK("https://www.suredividend.com/sure-analysis-KTB/","Kontoor Brands Inc")</f>
        <v>0</v>
      </c>
      <c r="C570">
        <v>58.98</v>
      </c>
      <c r="D570">
        <v>47</v>
      </c>
      <c r="E570">
        <v>1.254893617021277</v>
      </c>
      <c r="F570">
        <v>0.03119701593760597</v>
      </c>
      <c r="G570">
        <v>-0.04439455001125159</v>
      </c>
      <c r="H570">
        <v>0.03</v>
      </c>
      <c r="I570">
        <v>0.01725897197157278</v>
      </c>
      <c r="J570" t="s">
        <v>514</v>
      </c>
      <c r="K570" t="s">
        <v>514</v>
      </c>
      <c r="L570">
        <v>3.95</v>
      </c>
      <c r="M570">
        <v>1.84</v>
      </c>
      <c r="N570">
        <v>0.4658227848101266</v>
      </c>
      <c r="O570">
        <v>1</v>
      </c>
      <c r="P570">
        <v>0.01984845658885503</v>
      </c>
      <c r="Q570">
        <v>0.7509812790918241</v>
      </c>
      <c r="R570" t="s">
        <v>779</v>
      </c>
      <c r="S570" t="s">
        <v>788</v>
      </c>
      <c r="T570">
        <v>3439.04838</v>
      </c>
      <c r="U570" s="2">
        <v>44433</v>
      </c>
      <c r="V570" t="s">
        <v>797</v>
      </c>
    </row>
    <row r="571" spans="1:22">
      <c r="A571" s="1" t="s">
        <v>591</v>
      </c>
      <c r="B571">
        <f>HYPERLINK("https://www.suredividend.com/sure-analysis-TRSWF/","TransAlta Renewables, Inc.")</f>
        <v>0</v>
      </c>
      <c r="C571">
        <v>14.925</v>
      </c>
      <c r="D571">
        <v>11</v>
      </c>
      <c r="E571">
        <v>1.356818181818182</v>
      </c>
      <c r="F571">
        <v>0.0509212730318258</v>
      </c>
      <c r="G571">
        <v>-0.05920355194444893</v>
      </c>
      <c r="H571">
        <v>0.02</v>
      </c>
      <c r="I571">
        <v>0.01481818228867171</v>
      </c>
      <c r="J571" t="s">
        <v>514</v>
      </c>
      <c r="K571" t="s">
        <v>776</v>
      </c>
      <c r="L571">
        <v>0.97</v>
      </c>
      <c r="M571">
        <v>0.76</v>
      </c>
      <c r="N571">
        <v>0.7835051546391752</v>
      </c>
      <c r="O571">
        <v>0</v>
      </c>
      <c r="P571">
        <v>0.01031145931793609</v>
      </c>
      <c r="Q571">
        <v>0.143320494628015</v>
      </c>
      <c r="R571" t="s">
        <v>779</v>
      </c>
      <c r="S571" t="s">
        <v>791</v>
      </c>
      <c r="T571">
        <v>4063.801048</v>
      </c>
      <c r="U571" s="2">
        <v>44419</v>
      </c>
      <c r="V571" t="s">
        <v>801</v>
      </c>
    </row>
    <row r="572" spans="1:22">
      <c r="A572" s="1" t="s">
        <v>592</v>
      </c>
      <c r="B572">
        <f>HYPERLINK("https://www.suredividend.com/sure-analysis-BRX/","Brixmor Property Group Inc")</f>
        <v>0</v>
      </c>
      <c r="C572">
        <v>24.64</v>
      </c>
      <c r="D572">
        <v>20</v>
      </c>
      <c r="E572">
        <v>1.232</v>
      </c>
      <c r="F572">
        <v>0.03896103896103896</v>
      </c>
      <c r="G572">
        <v>-0.04086915367215083</v>
      </c>
      <c r="H572">
        <v>0.006</v>
      </c>
      <c r="I572">
        <v>0.01271366278996</v>
      </c>
      <c r="J572" t="s">
        <v>514</v>
      </c>
      <c r="K572" t="s">
        <v>370</v>
      </c>
      <c r="L572">
        <v>1.73</v>
      </c>
      <c r="M572">
        <v>0.96</v>
      </c>
      <c r="N572">
        <v>0.5549132947976878</v>
      </c>
      <c r="O572">
        <v>1</v>
      </c>
      <c r="P572">
        <v>0.054211515856875</v>
      </c>
      <c r="Q572">
        <v>0.8106452441216391</v>
      </c>
      <c r="R572" t="s">
        <v>781</v>
      </c>
      <c r="S572" t="s">
        <v>793</v>
      </c>
      <c r="T572">
        <v>7329.674823</v>
      </c>
      <c r="U572" s="2">
        <v>44421</v>
      </c>
      <c r="V572" t="s">
        <v>804</v>
      </c>
    </row>
    <row r="573" spans="1:22">
      <c r="A573" s="1" t="s">
        <v>593</v>
      </c>
      <c r="B573">
        <f>HYPERLINK("https://www.suredividend.com/sure-analysis-DRE/","Duke Realty Corp")</f>
        <v>0</v>
      </c>
      <c r="C573">
        <v>57.19</v>
      </c>
      <c r="D573">
        <v>38</v>
      </c>
      <c r="E573">
        <v>1.505</v>
      </c>
      <c r="F573">
        <v>0.01958384332925337</v>
      </c>
      <c r="G573">
        <v>-0.07850560064610812</v>
      </c>
      <c r="H573">
        <v>0.07000000000000001</v>
      </c>
      <c r="I573">
        <v>0.009614445956866779</v>
      </c>
      <c r="J573" t="s">
        <v>514</v>
      </c>
      <c r="K573" t="s">
        <v>777</v>
      </c>
      <c r="L573">
        <v>1.72</v>
      </c>
      <c r="M573">
        <v>1.12</v>
      </c>
      <c r="N573">
        <v>0.6511627906976745</v>
      </c>
      <c r="O573">
        <v>7</v>
      </c>
      <c r="P573">
        <v>0.06016789231717423</v>
      </c>
      <c r="Q573">
        <v>0.4997365864248021</v>
      </c>
      <c r="R573" t="s">
        <v>781</v>
      </c>
      <c r="S573" t="s">
        <v>793</v>
      </c>
      <c r="T573">
        <v>21575.169495</v>
      </c>
      <c r="U573" s="2">
        <v>44499</v>
      </c>
      <c r="V573" t="s">
        <v>796</v>
      </c>
    </row>
    <row r="574" spans="1:22">
      <c r="A574" s="1" t="s">
        <v>594</v>
      </c>
      <c r="B574">
        <f>HYPERLINK("https://www.suredividend.com/sure-analysis-APO/","Apollo Global Management Inc")</f>
        <v>0</v>
      </c>
      <c r="C574">
        <v>74</v>
      </c>
      <c r="D574">
        <v>51</v>
      </c>
      <c r="E574">
        <v>1.450980392156863</v>
      </c>
      <c r="F574">
        <v>0.02851351351351351</v>
      </c>
      <c r="G574">
        <v>-0.07174415773486531</v>
      </c>
      <c r="H574">
        <v>0.05</v>
      </c>
      <c r="I574">
        <v>0.008826781513786353</v>
      </c>
      <c r="J574" t="s">
        <v>514</v>
      </c>
      <c r="K574" t="s">
        <v>514</v>
      </c>
      <c r="L574">
        <v>3.9</v>
      </c>
      <c r="M574">
        <v>2.11</v>
      </c>
      <c r="N574">
        <v>0.541025641025641</v>
      </c>
      <c r="O574">
        <v>4</v>
      </c>
      <c r="P574">
        <v>0.04976953460473332</v>
      </c>
      <c r="Q574">
        <v>0.805244650995499</v>
      </c>
      <c r="R574" t="s">
        <v>779</v>
      </c>
      <c r="S574" t="s">
        <v>790</v>
      </c>
      <c r="T574">
        <v>18811.548682</v>
      </c>
      <c r="U574" s="2">
        <v>44427</v>
      </c>
      <c r="V574" t="s">
        <v>798</v>
      </c>
    </row>
    <row r="575" spans="1:22">
      <c r="A575" s="1" t="s">
        <v>595</v>
      </c>
      <c r="B575">
        <f>HYPERLINK("https://www.suredividend.com/sure-analysis-ARE/","Alexandria Real Estate Equities Inc.")</f>
        <v>0</v>
      </c>
      <c r="C575">
        <v>205.42</v>
      </c>
      <c r="D575">
        <v>140</v>
      </c>
      <c r="E575">
        <v>1.467285714285714</v>
      </c>
      <c r="F575">
        <v>0.02180897673060072</v>
      </c>
      <c r="G575">
        <v>-0.07381645221324651</v>
      </c>
      <c r="H575">
        <v>0.06</v>
      </c>
      <c r="I575">
        <v>0.008343891884742938</v>
      </c>
      <c r="J575" t="s">
        <v>514</v>
      </c>
      <c r="K575" t="s">
        <v>514</v>
      </c>
      <c r="L575">
        <v>7.75</v>
      </c>
      <c r="M575">
        <v>4.48</v>
      </c>
      <c r="N575">
        <v>0.5780645161290323</v>
      </c>
      <c r="O575">
        <v>11</v>
      </c>
      <c r="P575">
        <v>0.06016789231717423</v>
      </c>
      <c r="Q575">
        <v>0.376761699480762</v>
      </c>
      <c r="R575" t="s">
        <v>781</v>
      </c>
      <c r="S575" t="s">
        <v>793</v>
      </c>
      <c r="T575">
        <v>32069.871612</v>
      </c>
      <c r="U575" s="2">
        <v>44496</v>
      </c>
      <c r="V575" t="s">
        <v>799</v>
      </c>
    </row>
    <row r="576" spans="1:22">
      <c r="A576" s="1" t="s">
        <v>596</v>
      </c>
      <c r="B576">
        <f>HYPERLINK("https://www.suredividend.com/sure-analysis-MAC/","Macerich Co.")</f>
        <v>0</v>
      </c>
      <c r="C576">
        <v>20.64</v>
      </c>
      <c r="D576">
        <v>15</v>
      </c>
      <c r="E576">
        <v>1.376</v>
      </c>
      <c r="F576">
        <v>0.02906976744186046</v>
      </c>
      <c r="G576">
        <v>-0.06184129379014203</v>
      </c>
      <c r="H576">
        <v>0.03</v>
      </c>
      <c r="I576">
        <v>0.005238668060464358</v>
      </c>
      <c r="J576" t="s">
        <v>514</v>
      </c>
      <c r="K576" t="s">
        <v>514</v>
      </c>
      <c r="L576">
        <v>1.93</v>
      </c>
      <c r="M576">
        <v>0.6</v>
      </c>
      <c r="N576">
        <v>0.310880829015544</v>
      </c>
      <c r="O576">
        <v>0</v>
      </c>
      <c r="P576">
        <v>0.0796084730466029</v>
      </c>
      <c r="Q576">
        <v>1.475173296732449</v>
      </c>
      <c r="R576" t="s">
        <v>781</v>
      </c>
      <c r="S576" t="s">
        <v>793</v>
      </c>
      <c r="T576">
        <v>4571.788184</v>
      </c>
      <c r="U576" s="2">
        <v>44509</v>
      </c>
      <c r="V576" t="s">
        <v>802</v>
      </c>
    </row>
    <row r="577" spans="1:22">
      <c r="A577" s="1" t="s">
        <v>597</v>
      </c>
      <c r="B577">
        <f>HYPERLINK("https://www.suredividend.com/sure-analysis-SKT/","Tanger Factory Outlet Centers, Inc.")</f>
        <v>0</v>
      </c>
      <c r="C577">
        <v>19.56</v>
      </c>
      <c r="D577">
        <v>15</v>
      </c>
      <c r="E577">
        <v>1.304</v>
      </c>
      <c r="F577">
        <v>0.03732106339468303</v>
      </c>
      <c r="G577">
        <v>-0.05170277055723349</v>
      </c>
      <c r="H577">
        <v>0.015</v>
      </c>
      <c r="I577">
        <v>0.003738875185356427</v>
      </c>
      <c r="J577" t="s">
        <v>514</v>
      </c>
      <c r="K577" t="s">
        <v>370</v>
      </c>
      <c r="L577">
        <v>1.56</v>
      </c>
      <c r="M577">
        <v>0.73</v>
      </c>
      <c r="N577">
        <v>0.4679487179487179</v>
      </c>
      <c r="O577">
        <v>1</v>
      </c>
      <c r="P577">
        <v>0.01072631497080168</v>
      </c>
      <c r="Q577">
        <v>1.513858611024602</v>
      </c>
      <c r="R577" t="s">
        <v>781</v>
      </c>
      <c r="S577" t="s">
        <v>793</v>
      </c>
      <c r="T577">
        <v>2098.407896</v>
      </c>
      <c r="U577" s="2">
        <v>44413</v>
      </c>
      <c r="V577" t="s">
        <v>801</v>
      </c>
    </row>
    <row r="578" spans="1:22">
      <c r="A578" s="1" t="s">
        <v>598</v>
      </c>
      <c r="B578">
        <f>HYPERLINK("https://www.suredividend.com/sure-analysis-PLYM/","Plymouth Industrial Reit Inc")</f>
        <v>0</v>
      </c>
      <c r="C578">
        <v>28.18</v>
      </c>
      <c r="D578">
        <v>19</v>
      </c>
      <c r="E578">
        <v>1.483157894736842</v>
      </c>
      <c r="F578">
        <v>0.0298083747338538</v>
      </c>
      <c r="G578">
        <v>-0.07580732417728042</v>
      </c>
      <c r="H578">
        <v>0.05</v>
      </c>
      <c r="I578">
        <v>0.002742933972708306</v>
      </c>
      <c r="J578" t="s">
        <v>514</v>
      </c>
      <c r="K578" t="s">
        <v>514</v>
      </c>
      <c r="L578">
        <v>1.46</v>
      </c>
      <c r="M578">
        <v>0.84</v>
      </c>
      <c r="N578">
        <v>0.5753424657534246</v>
      </c>
      <c r="O578">
        <v>0</v>
      </c>
      <c r="P578">
        <v>0.009347419909568888</v>
      </c>
      <c r="Q578">
        <v>1.262984504006182</v>
      </c>
      <c r="R578" t="s">
        <v>781</v>
      </c>
      <c r="S578" t="s">
        <v>793</v>
      </c>
      <c r="T578">
        <v>962.723869</v>
      </c>
      <c r="U578" s="2">
        <v>44430</v>
      </c>
      <c r="V578" t="s">
        <v>801</v>
      </c>
    </row>
    <row r="579" spans="1:22">
      <c r="A579" s="1" t="s">
        <v>599</v>
      </c>
      <c r="B579">
        <f>HYPERLINK("https://www.suredividend.com/sure-analysis-EOG/","EOG Resources, Inc.")</f>
        <v>0</v>
      </c>
      <c r="C579">
        <v>94.29000000000001</v>
      </c>
      <c r="D579">
        <v>72</v>
      </c>
      <c r="E579">
        <v>1.309583333333333</v>
      </c>
      <c r="F579">
        <v>0.01749920458160992</v>
      </c>
      <c r="G579">
        <v>-0.05251275522239007</v>
      </c>
      <c r="H579">
        <v>0.03</v>
      </c>
      <c r="I579">
        <v>-0.0008071762145868133</v>
      </c>
      <c r="J579" t="s">
        <v>514</v>
      </c>
      <c r="K579" t="s">
        <v>777</v>
      </c>
      <c r="L579">
        <v>4</v>
      </c>
      <c r="M579">
        <v>1.65</v>
      </c>
      <c r="N579">
        <v>0.4125</v>
      </c>
      <c r="O579">
        <v>4</v>
      </c>
      <c r="P579">
        <v>0.0796084730466029</v>
      </c>
      <c r="Q579">
        <v>1.461596958174904</v>
      </c>
      <c r="R579" t="s">
        <v>779</v>
      </c>
      <c r="S579" t="s">
        <v>792</v>
      </c>
      <c r="T579">
        <v>56818.088055</v>
      </c>
      <c r="U579" s="2">
        <v>44417</v>
      </c>
      <c r="V579" t="s">
        <v>805</v>
      </c>
    </row>
    <row r="580" spans="1:22">
      <c r="A580" s="1" t="s">
        <v>600</v>
      </c>
      <c r="B580">
        <f>HYPERLINK("https://www.suredividend.com/sure-analysis-COR/","CoreSite Realty Corporation")</f>
        <v>0</v>
      </c>
      <c r="C580">
        <v>161.13</v>
      </c>
      <c r="D580">
        <v>106</v>
      </c>
      <c r="E580">
        <v>1.520094339622641</v>
      </c>
      <c r="F580">
        <v>0.0315273381741451</v>
      </c>
      <c r="G580">
        <v>-0.08034297714813265</v>
      </c>
      <c r="H580">
        <v>0.046</v>
      </c>
      <c r="I580">
        <v>-0.002187684046343286</v>
      </c>
      <c r="J580" t="s">
        <v>514</v>
      </c>
      <c r="K580" t="s">
        <v>370</v>
      </c>
      <c r="L580">
        <v>5.58</v>
      </c>
      <c r="M580">
        <v>5.08</v>
      </c>
      <c r="N580">
        <v>0.910394265232975</v>
      </c>
      <c r="O580">
        <v>10</v>
      </c>
      <c r="P580">
        <v>0.01601424134469998</v>
      </c>
      <c r="Q580">
        <v>0.387094076703112</v>
      </c>
      <c r="R580" t="s">
        <v>781</v>
      </c>
      <c r="S580" t="s">
        <v>793</v>
      </c>
      <c r="T580">
        <v>7111.413309</v>
      </c>
      <c r="U580" s="2">
        <v>44503</v>
      </c>
      <c r="V580" t="s">
        <v>803</v>
      </c>
    </row>
    <row r="581" spans="1:22">
      <c r="A581" s="1" t="s">
        <v>601</v>
      </c>
      <c r="B581">
        <f>HYPERLINK("https://www.suredividend.com/sure-analysis-ELS/","Equity Lifestyle Properties Inc.")</f>
        <v>0</v>
      </c>
      <c r="C581">
        <v>84.61</v>
      </c>
      <c r="D581">
        <v>53</v>
      </c>
      <c r="E581">
        <v>1.596415094339623</v>
      </c>
      <c r="F581">
        <v>0.01713745420163101</v>
      </c>
      <c r="G581">
        <v>-0.08930943978323291</v>
      </c>
      <c r="H581">
        <v>0.07000000000000001</v>
      </c>
      <c r="I581">
        <v>-0.003242007573161065</v>
      </c>
      <c r="J581" t="s">
        <v>514</v>
      </c>
      <c r="K581" t="s">
        <v>777</v>
      </c>
      <c r="L581">
        <v>2.51</v>
      </c>
      <c r="M581">
        <v>1.45</v>
      </c>
      <c r="N581">
        <v>0.5776892430278885</v>
      </c>
      <c r="O581">
        <v>17</v>
      </c>
      <c r="P581">
        <v>0.06961037572506878</v>
      </c>
      <c r="Q581">
        <v>0.4818596312104511</v>
      </c>
      <c r="R581" t="s">
        <v>781</v>
      </c>
      <c r="S581" t="s">
        <v>793</v>
      </c>
      <c r="T581">
        <v>15527.792019</v>
      </c>
      <c r="U581" s="2">
        <v>44493</v>
      </c>
      <c r="V581" t="s">
        <v>796</v>
      </c>
    </row>
    <row r="582" spans="1:22">
      <c r="A582" s="1" t="s">
        <v>602</v>
      </c>
      <c r="B582">
        <f>HYPERLINK("https://www.suredividend.com/sure-analysis-LXP/","Lexington Realty Trust")</f>
        <v>0</v>
      </c>
      <c r="C582">
        <v>14.84</v>
      </c>
      <c r="D582">
        <v>11</v>
      </c>
      <c r="E582">
        <v>1.349090909090909</v>
      </c>
      <c r="F582">
        <v>0.02897574123989218</v>
      </c>
      <c r="G582">
        <v>-0.05812828090922373</v>
      </c>
      <c r="H582">
        <v>0.02</v>
      </c>
      <c r="I582">
        <v>-0.006630123859557746</v>
      </c>
      <c r="J582" t="s">
        <v>514</v>
      </c>
      <c r="K582" t="s">
        <v>514</v>
      </c>
      <c r="L582">
        <v>0.76</v>
      </c>
      <c r="M582">
        <v>0.43</v>
      </c>
      <c r="N582">
        <v>0.5657894736842105</v>
      </c>
      <c r="O582">
        <v>1</v>
      </c>
      <c r="P582">
        <v>0.00913393693363318</v>
      </c>
      <c r="Q582">
        <v>0.543328719651164</v>
      </c>
      <c r="R582" t="s">
        <v>781</v>
      </c>
      <c r="S582" t="s">
        <v>793</v>
      </c>
      <c r="T582">
        <v>4194.182517</v>
      </c>
      <c r="U582" s="2">
        <v>44425</v>
      </c>
      <c r="V582" t="s">
        <v>801</v>
      </c>
    </row>
    <row r="583" spans="1:22">
      <c r="A583" s="1" t="s">
        <v>603</v>
      </c>
      <c r="B583">
        <f>HYPERLINK("https://www.suredividend.com/sure-analysis-EXPO/","Exponent Inc.")</f>
        <v>0</v>
      </c>
      <c r="C583">
        <v>120.21</v>
      </c>
      <c r="D583">
        <v>72</v>
      </c>
      <c r="E583">
        <v>1.669583333333333</v>
      </c>
      <c r="F583">
        <v>0.006655020380999918</v>
      </c>
      <c r="G583">
        <v>-0.09743522532723214</v>
      </c>
      <c r="H583">
        <v>0.09</v>
      </c>
      <c r="I583">
        <v>-0.007109484312950887</v>
      </c>
      <c r="J583" t="s">
        <v>514</v>
      </c>
      <c r="K583" t="s">
        <v>777</v>
      </c>
      <c r="L583">
        <v>1.9</v>
      </c>
      <c r="M583">
        <v>0.8</v>
      </c>
      <c r="N583">
        <v>0.4210526315789474</v>
      </c>
      <c r="O583">
        <v>8</v>
      </c>
      <c r="P583">
        <v>0.08984070585040471</v>
      </c>
      <c r="Q583">
        <v>0.544390030120208</v>
      </c>
      <c r="R583" t="s">
        <v>779</v>
      </c>
      <c r="S583" t="s">
        <v>786</v>
      </c>
      <c r="T583">
        <v>6207.001718</v>
      </c>
      <c r="U583" s="2">
        <v>44501</v>
      </c>
      <c r="V583" t="s">
        <v>801</v>
      </c>
    </row>
    <row r="584" spans="1:22">
      <c r="A584" s="1" t="s">
        <v>604</v>
      </c>
      <c r="B584">
        <f>HYPERLINK("https://www.suredividend.com/sure-analysis-SLB/","Schlumberger Ltd.")</f>
        <v>0</v>
      </c>
      <c r="C584">
        <v>32.73</v>
      </c>
      <c r="D584">
        <v>20</v>
      </c>
      <c r="E584">
        <v>1.6365</v>
      </c>
      <c r="F584">
        <v>0.01527650473571647</v>
      </c>
      <c r="G584">
        <v>-0.09381514813254288</v>
      </c>
      <c r="H584">
        <v>0.07000000000000001</v>
      </c>
      <c r="I584">
        <v>-0.0100110358745169</v>
      </c>
      <c r="J584" t="s">
        <v>514</v>
      </c>
      <c r="K584" t="s">
        <v>777</v>
      </c>
      <c r="L584">
        <v>1.1</v>
      </c>
      <c r="M584">
        <v>0.5</v>
      </c>
      <c r="N584">
        <v>0.4545454545454545</v>
      </c>
      <c r="O584">
        <v>0</v>
      </c>
      <c r="P584">
        <v>0.06961037572506878</v>
      </c>
      <c r="Q584">
        <v>0.8903549814231371</v>
      </c>
      <c r="R584" t="s">
        <v>779</v>
      </c>
      <c r="S584" t="s">
        <v>792</v>
      </c>
      <c r="T584">
        <v>47885.876486</v>
      </c>
      <c r="U584" s="2">
        <v>44493</v>
      </c>
      <c r="V584" t="s">
        <v>802</v>
      </c>
    </row>
    <row r="585" spans="1:22">
      <c r="A585" s="1" t="s">
        <v>605</v>
      </c>
      <c r="B585">
        <f>HYPERLINK("https://www.suredividend.com/sure-analysis-FR/","First Industrial Realty Trust, Inc.")</f>
        <v>0</v>
      </c>
      <c r="C585">
        <v>60.64</v>
      </c>
      <c r="D585">
        <v>36</v>
      </c>
      <c r="E585">
        <v>1.684444444444444</v>
      </c>
      <c r="F585">
        <v>0.01781002638522428</v>
      </c>
      <c r="G585">
        <v>-0.09903346179944761</v>
      </c>
      <c r="H585">
        <v>0.07000000000000001</v>
      </c>
      <c r="I585">
        <v>-0.01244883478225445</v>
      </c>
      <c r="J585" t="s">
        <v>514</v>
      </c>
      <c r="K585" t="s">
        <v>777</v>
      </c>
      <c r="L585">
        <v>1.95</v>
      </c>
      <c r="M585">
        <v>1.08</v>
      </c>
      <c r="N585">
        <v>0.5538461538461539</v>
      </c>
      <c r="O585">
        <v>9</v>
      </c>
      <c r="P585">
        <v>0.06069091570555463</v>
      </c>
      <c r="Q585">
        <v>0.5132161740976531</v>
      </c>
      <c r="R585" t="s">
        <v>781</v>
      </c>
      <c r="S585" t="s">
        <v>793</v>
      </c>
      <c r="T585">
        <v>7786.626073</v>
      </c>
      <c r="U585" s="2">
        <v>44492</v>
      </c>
      <c r="V585" t="s">
        <v>796</v>
      </c>
    </row>
    <row r="586" spans="1:22">
      <c r="A586" s="1" t="s">
        <v>606</v>
      </c>
      <c r="B586">
        <f>HYPERLINK("https://www.suredividend.com/sure-analysis-CF/","CF Industries Holdings Inc")</f>
        <v>0</v>
      </c>
      <c r="C586">
        <v>62.97</v>
      </c>
      <c r="D586">
        <v>53</v>
      </c>
      <c r="E586">
        <v>1.18811320754717</v>
      </c>
      <c r="F586">
        <v>0.01905669366364936</v>
      </c>
      <c r="G586">
        <v>-0.03388586713953856</v>
      </c>
      <c r="H586">
        <v>0</v>
      </c>
      <c r="I586">
        <v>-0.01293974790112584</v>
      </c>
      <c r="J586" t="s">
        <v>514</v>
      </c>
      <c r="K586" t="s">
        <v>514</v>
      </c>
      <c r="L586">
        <v>4.3</v>
      </c>
      <c r="M586">
        <v>1.2</v>
      </c>
      <c r="N586">
        <v>0.2790697674418605</v>
      </c>
      <c r="O586">
        <v>0</v>
      </c>
      <c r="P586">
        <v>0</v>
      </c>
      <c r="Q586">
        <v>1.246616039033265</v>
      </c>
      <c r="R586" t="s">
        <v>779</v>
      </c>
      <c r="S586" t="s">
        <v>787</v>
      </c>
      <c r="T586">
        <v>13559.137317</v>
      </c>
      <c r="U586" s="2">
        <v>44427</v>
      </c>
      <c r="V586" t="s">
        <v>798</v>
      </c>
    </row>
    <row r="587" spans="1:22">
      <c r="A587" s="1" t="s">
        <v>607</v>
      </c>
      <c r="B587">
        <f>HYPERLINK("https://www.suredividend.com/sure-analysis-EXC/","Exelon Corp.")</f>
        <v>0</v>
      </c>
      <c r="C587">
        <v>54.45</v>
      </c>
      <c r="D587">
        <v>38</v>
      </c>
      <c r="E587">
        <v>1.432894736842105</v>
      </c>
      <c r="F587">
        <v>0.02809917355371901</v>
      </c>
      <c r="G587">
        <v>-0.06941265454677747</v>
      </c>
      <c r="H587">
        <v>0.02</v>
      </c>
      <c r="I587">
        <v>-0.01659809989640559</v>
      </c>
      <c r="J587" t="s">
        <v>514</v>
      </c>
      <c r="K587" t="s">
        <v>514</v>
      </c>
      <c r="L587">
        <v>2.8</v>
      </c>
      <c r="M587">
        <v>1.53</v>
      </c>
      <c r="N587">
        <v>0.5464285714285715</v>
      </c>
      <c r="O587">
        <v>5</v>
      </c>
      <c r="P587">
        <v>0.02009132612636422</v>
      </c>
      <c r="Q587">
        <v>0.293793189227718</v>
      </c>
      <c r="R587" t="s">
        <v>779</v>
      </c>
      <c r="S587" t="s">
        <v>791</v>
      </c>
      <c r="T587">
        <v>52890.968579</v>
      </c>
      <c r="U587" s="2">
        <v>44504</v>
      </c>
      <c r="V587" t="s">
        <v>795</v>
      </c>
    </row>
    <row r="588" spans="1:22">
      <c r="A588" s="1" t="s">
        <v>608</v>
      </c>
      <c r="B588">
        <f>HYPERLINK("https://www.suredividend.com/sure-analysis-CNQ/","Canadian Natural Resources Ltd.")</f>
        <v>0</v>
      </c>
      <c r="C588">
        <v>42.43</v>
      </c>
      <c r="D588">
        <v>40</v>
      </c>
      <c r="E588">
        <v>1.06075</v>
      </c>
      <c r="F588">
        <v>0.03582370963940608</v>
      </c>
      <c r="G588">
        <v>-0.01172594986755615</v>
      </c>
      <c r="H588">
        <v>-0.05</v>
      </c>
      <c r="I588">
        <v>-0.01778074105037231</v>
      </c>
      <c r="J588" t="s">
        <v>514</v>
      </c>
      <c r="K588" t="s">
        <v>370</v>
      </c>
      <c r="L588">
        <v>3.3</v>
      </c>
      <c r="M588">
        <v>1.52</v>
      </c>
      <c r="N588">
        <v>0.4606060606060606</v>
      </c>
      <c r="O588">
        <v>5</v>
      </c>
      <c r="P588">
        <v>0.01031145931793609</v>
      </c>
      <c r="Q588">
        <v>1.282151159138028</v>
      </c>
      <c r="R588" t="s">
        <v>779</v>
      </c>
      <c r="S588" t="s">
        <v>792</v>
      </c>
      <c r="T588">
        <v>51347.881996</v>
      </c>
      <c r="U588" s="2">
        <v>44439</v>
      </c>
      <c r="V588" t="s">
        <v>802</v>
      </c>
    </row>
    <row r="589" spans="1:22">
      <c r="A589" s="1" t="s">
        <v>609</v>
      </c>
      <c r="B589">
        <f>HYPERLINK("https://www.suredividend.com/sure-analysis-MAA/","Mid-America Apartment Communities, Inc.")</f>
        <v>0</v>
      </c>
      <c r="C589">
        <v>202.8</v>
      </c>
      <c r="D589">
        <v>118</v>
      </c>
      <c r="E589">
        <v>1.71864406779661</v>
      </c>
      <c r="F589">
        <v>0.02021696252465483</v>
      </c>
      <c r="G589">
        <v>-0.1026480491082082</v>
      </c>
      <c r="H589">
        <v>0.06</v>
      </c>
      <c r="I589">
        <v>-0.0218341022490236</v>
      </c>
      <c r="J589" t="s">
        <v>514</v>
      </c>
      <c r="K589" t="s">
        <v>777</v>
      </c>
      <c r="L589">
        <v>6.98</v>
      </c>
      <c r="M589">
        <v>4.1</v>
      </c>
      <c r="N589">
        <v>0.5873925501432664</v>
      </c>
      <c r="O589">
        <v>10</v>
      </c>
      <c r="P589">
        <v>0.04868220215701768</v>
      </c>
      <c r="Q589">
        <v>0.6549933326360921</v>
      </c>
      <c r="R589" t="s">
        <v>781</v>
      </c>
      <c r="S589" t="s">
        <v>793</v>
      </c>
      <c r="T589">
        <v>23321.267324</v>
      </c>
      <c r="U589" s="2">
        <v>44509</v>
      </c>
      <c r="V589" t="s">
        <v>802</v>
      </c>
    </row>
    <row r="590" spans="1:22">
      <c r="A590" s="1" t="s">
        <v>610</v>
      </c>
      <c r="B590">
        <f>HYPERLINK("https://www.suredividend.com/sure-analysis-AMH/","American Homes 4 Rent")</f>
        <v>0</v>
      </c>
      <c r="C590">
        <v>40.15</v>
      </c>
      <c r="D590">
        <v>29</v>
      </c>
      <c r="E590">
        <v>1.38448275862069</v>
      </c>
      <c r="F590">
        <v>0.009962640099626403</v>
      </c>
      <c r="G590">
        <v>-0.06299374582040695</v>
      </c>
      <c r="H590">
        <v>0.03</v>
      </c>
      <c r="I590">
        <v>-0.02366443837490784</v>
      </c>
      <c r="J590" t="s">
        <v>514</v>
      </c>
      <c r="K590" t="s">
        <v>777</v>
      </c>
      <c r="L590">
        <v>1.36</v>
      </c>
      <c r="M590">
        <v>0.4</v>
      </c>
      <c r="N590">
        <v>0.2941176470588235</v>
      </c>
      <c r="O590">
        <v>1</v>
      </c>
      <c r="P590">
        <v>0</v>
      </c>
      <c r="Q590">
        <v>0.3995922775846431</v>
      </c>
      <c r="R590" t="s">
        <v>781</v>
      </c>
      <c r="S590" t="s">
        <v>793</v>
      </c>
      <c r="T590">
        <v>13450.550487</v>
      </c>
      <c r="U590" s="2">
        <v>44506</v>
      </c>
      <c r="V590" t="s">
        <v>795</v>
      </c>
    </row>
    <row r="591" spans="1:22">
      <c r="A591" s="1" t="s">
        <v>611</v>
      </c>
      <c r="B591">
        <f>HYPERLINK("https://www.suredividend.com/sure-analysis-CME/","CME Group Inc")</f>
        <v>0</v>
      </c>
      <c r="C591">
        <v>221.08</v>
      </c>
      <c r="D591">
        <v>133</v>
      </c>
      <c r="E591">
        <v>1.662255639097745</v>
      </c>
      <c r="F591">
        <v>0.0162836982087932</v>
      </c>
      <c r="G591">
        <v>-0.09664087249325726</v>
      </c>
      <c r="H591">
        <v>0.054</v>
      </c>
      <c r="I591">
        <v>-0.02648797563365746</v>
      </c>
      <c r="J591" t="s">
        <v>514</v>
      </c>
      <c r="K591" t="s">
        <v>777</v>
      </c>
      <c r="L591">
        <v>6.65</v>
      </c>
      <c r="M591">
        <v>3.6</v>
      </c>
      <c r="N591">
        <v>0.5413533834586466</v>
      </c>
      <c r="O591">
        <v>17</v>
      </c>
      <c r="P591">
        <v>0.04047680696561917</v>
      </c>
      <c r="Q591">
        <v>0.409105901238663</v>
      </c>
      <c r="R591" t="s">
        <v>779</v>
      </c>
      <c r="S591" t="s">
        <v>790</v>
      </c>
      <c r="T591">
        <v>79688.91255199999</v>
      </c>
      <c r="U591" s="2">
        <v>44503</v>
      </c>
      <c r="V591" t="s">
        <v>803</v>
      </c>
    </row>
    <row r="592" spans="1:22">
      <c r="A592" s="1" t="s">
        <v>612</v>
      </c>
      <c r="B592">
        <f>HYPERLINK("https://www.suredividend.com/sure-analysis-WPM/","Wheaton Precious Metals Corp")</f>
        <v>0</v>
      </c>
      <c r="C592">
        <v>43</v>
      </c>
      <c r="D592">
        <v>42</v>
      </c>
      <c r="E592">
        <v>1.023809523809524</v>
      </c>
      <c r="F592">
        <v>0.01395348837209302</v>
      </c>
      <c r="G592">
        <v>-0.004695043146742406</v>
      </c>
      <c r="H592">
        <v>-0.04</v>
      </c>
      <c r="I592">
        <v>-0.02739862594648979</v>
      </c>
      <c r="J592" t="s">
        <v>514</v>
      </c>
      <c r="K592" t="s">
        <v>777</v>
      </c>
      <c r="L592">
        <v>1.5</v>
      </c>
      <c r="M592">
        <v>0.6</v>
      </c>
      <c r="N592">
        <v>0.4</v>
      </c>
      <c r="O592">
        <v>2</v>
      </c>
      <c r="P592">
        <v>0.01924487649145656</v>
      </c>
      <c r="Q592">
        <v>-0.08178936705551701</v>
      </c>
      <c r="R592" t="s">
        <v>779</v>
      </c>
      <c r="S592" t="s">
        <v>787</v>
      </c>
      <c r="T592">
        <v>18988.883201</v>
      </c>
      <c r="U592" s="2">
        <v>44428</v>
      </c>
      <c r="V592" t="s">
        <v>798</v>
      </c>
    </row>
    <row r="593" spans="1:22">
      <c r="A593" s="1" t="s">
        <v>613</v>
      </c>
      <c r="B593">
        <f>HYPERLINK("https://www.suredividend.com/sure-analysis-OGZPY/","Gazprom")</f>
        <v>0</v>
      </c>
      <c r="C593">
        <v>9.66</v>
      </c>
      <c r="D593">
        <v>4.25</v>
      </c>
      <c r="E593">
        <v>2.272941176470588</v>
      </c>
      <c r="F593">
        <v>0.03519668737060042</v>
      </c>
      <c r="G593">
        <v>-0.151440381234755</v>
      </c>
      <c r="H593">
        <v>0.08</v>
      </c>
      <c r="I593">
        <v>-0.02756474859373215</v>
      </c>
      <c r="J593" t="s">
        <v>514</v>
      </c>
      <c r="K593" t="s">
        <v>370</v>
      </c>
      <c r="L593">
        <v>0.85</v>
      </c>
      <c r="M593">
        <v>0.34</v>
      </c>
      <c r="N593">
        <v>0.4</v>
      </c>
      <c r="O593">
        <v>0</v>
      </c>
      <c r="P593">
        <v>0.0801851873035635</v>
      </c>
      <c r="Q593">
        <v>1.223981900452488</v>
      </c>
      <c r="R593" t="s">
        <v>779</v>
      </c>
      <c r="S593" t="s">
        <v>792</v>
      </c>
      <c r="T593">
        <v>116355.315904</v>
      </c>
      <c r="U593" s="2">
        <v>44442</v>
      </c>
      <c r="V593" t="s">
        <v>802</v>
      </c>
    </row>
    <row r="594" spans="1:22">
      <c r="A594" s="1" t="s">
        <v>614</v>
      </c>
      <c r="B594">
        <f>HYPERLINK("https://www.suredividend.com/sure-analysis-JCI/","Johnson Controls International plc")</f>
        <v>0</v>
      </c>
      <c r="C594">
        <v>76.15000000000001</v>
      </c>
      <c r="D594">
        <v>42</v>
      </c>
      <c r="E594">
        <v>1.813095238095238</v>
      </c>
      <c r="F594">
        <v>0.01418253447143795</v>
      </c>
      <c r="G594">
        <v>-0.1121984957364699</v>
      </c>
      <c r="H594">
        <v>0.07000000000000001</v>
      </c>
      <c r="I594">
        <v>-0.02956415983828176</v>
      </c>
      <c r="J594" t="s">
        <v>514</v>
      </c>
      <c r="K594" t="s">
        <v>777</v>
      </c>
      <c r="L594">
        <v>2.65</v>
      </c>
      <c r="M594">
        <v>1.08</v>
      </c>
      <c r="N594">
        <v>0.4075471698113208</v>
      </c>
      <c r="O594">
        <v>1</v>
      </c>
      <c r="P594">
        <v>0.06932726018096602</v>
      </c>
      <c r="Q594">
        <v>0.7510048627566001</v>
      </c>
      <c r="R594" t="s">
        <v>779</v>
      </c>
      <c r="S594" t="s">
        <v>786</v>
      </c>
      <c r="T594">
        <v>54421.054484</v>
      </c>
      <c r="U594" s="2">
        <v>44413</v>
      </c>
      <c r="V594" t="s">
        <v>799</v>
      </c>
    </row>
    <row r="595" spans="1:22">
      <c r="A595" s="1" t="s">
        <v>615</v>
      </c>
      <c r="B595">
        <f>HYPERLINK("https://www.suredividend.com/sure-analysis-ACN/","Accenture plc")</f>
        <v>0</v>
      </c>
      <c r="C595">
        <v>364.74</v>
      </c>
      <c r="D595">
        <v>201</v>
      </c>
      <c r="E595">
        <v>1.814626865671642</v>
      </c>
      <c r="F595">
        <v>0.01063771453638208</v>
      </c>
      <c r="G595">
        <v>-0.1123484153272741</v>
      </c>
      <c r="H595">
        <v>0.075</v>
      </c>
      <c r="I595">
        <v>-0.03004487839401071</v>
      </c>
      <c r="J595" t="s">
        <v>514</v>
      </c>
      <c r="K595" t="s">
        <v>777</v>
      </c>
      <c r="L595">
        <v>10.04</v>
      </c>
      <c r="M595">
        <v>3.88</v>
      </c>
      <c r="N595">
        <v>0.3864541832669323</v>
      </c>
      <c r="O595">
        <v>11</v>
      </c>
      <c r="P595">
        <v>0.07996237680867235</v>
      </c>
      <c r="Q595">
        <v>0.548630982733988</v>
      </c>
      <c r="R595" t="s">
        <v>779</v>
      </c>
      <c r="S595" t="s">
        <v>785</v>
      </c>
      <c r="T595">
        <v>241332.05892</v>
      </c>
      <c r="U595" s="2">
        <v>44476</v>
      </c>
      <c r="V595" t="s">
        <v>797</v>
      </c>
    </row>
    <row r="596" spans="1:22">
      <c r="A596" s="1" t="s">
        <v>616</v>
      </c>
      <c r="B596">
        <f>HYPERLINK("https://www.suredividend.com/sure-analysis-CWEN/","Clearway Energy Inc")</f>
        <v>0</v>
      </c>
      <c r="C596">
        <v>37</v>
      </c>
      <c r="D596">
        <v>20</v>
      </c>
      <c r="E596">
        <v>1.85</v>
      </c>
      <c r="F596">
        <v>0.03621621621621622</v>
      </c>
      <c r="G596">
        <v>-0.1157691676100879</v>
      </c>
      <c r="H596">
        <v>0.03</v>
      </c>
      <c r="I596">
        <v>-0.03502012957997869</v>
      </c>
      <c r="J596" t="s">
        <v>514</v>
      </c>
      <c r="K596" t="s">
        <v>370</v>
      </c>
      <c r="L596">
        <v>2.71</v>
      </c>
      <c r="M596">
        <v>1.34</v>
      </c>
      <c r="N596">
        <v>0.4944649446494465</v>
      </c>
      <c r="O596">
        <v>1</v>
      </c>
      <c r="P596">
        <v>0.04997331683701267</v>
      </c>
      <c r="Q596">
        <v>0.312186012632691</v>
      </c>
      <c r="R596" t="s">
        <v>779</v>
      </c>
      <c r="S596" t="s">
        <v>791</v>
      </c>
      <c r="T596">
        <v>4181.030014</v>
      </c>
      <c r="U596" s="2">
        <v>44414</v>
      </c>
      <c r="V596" t="s">
        <v>801</v>
      </c>
    </row>
    <row r="597" spans="1:22">
      <c r="A597" s="1" t="s">
        <v>617</v>
      </c>
      <c r="B597">
        <f>HYPERLINK("https://www.suredividend.com/sure-analysis-CPT/","Camden Property Trust")</f>
        <v>0</v>
      </c>
      <c r="C597">
        <v>164.6</v>
      </c>
      <c r="D597">
        <v>97</v>
      </c>
      <c r="E597">
        <v>1.696907216494845</v>
      </c>
      <c r="F597">
        <v>0.02017010935601458</v>
      </c>
      <c r="G597">
        <v>-0.1003607793296819</v>
      </c>
      <c r="H597">
        <v>0.04</v>
      </c>
      <c r="I597">
        <v>-0.03643790499047794</v>
      </c>
      <c r="J597" t="s">
        <v>514</v>
      </c>
      <c r="K597" t="s">
        <v>777</v>
      </c>
      <c r="L597">
        <v>5.37</v>
      </c>
      <c r="M597">
        <v>3.32</v>
      </c>
      <c r="N597">
        <v>0.6182495344506517</v>
      </c>
      <c r="O597">
        <v>10</v>
      </c>
      <c r="P597">
        <v>0.04003668004870131</v>
      </c>
      <c r="Q597">
        <v>0.699433383150005</v>
      </c>
      <c r="R597" t="s">
        <v>781</v>
      </c>
      <c r="S597" t="s">
        <v>793</v>
      </c>
      <c r="T597">
        <v>16653.047265</v>
      </c>
      <c r="U597" s="2">
        <v>44505</v>
      </c>
      <c r="V597" t="s">
        <v>799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23.41</v>
      </c>
      <c r="D598">
        <v>12.7</v>
      </c>
      <c r="E598">
        <v>1.843307086614173</v>
      </c>
      <c r="F598">
        <v>0.0290474156343443</v>
      </c>
      <c r="G598">
        <v>-0.115127982660719</v>
      </c>
      <c r="H598">
        <v>0.034</v>
      </c>
      <c r="I598">
        <v>-0.04041899886296818</v>
      </c>
      <c r="J598" t="s">
        <v>514</v>
      </c>
      <c r="K598" t="s">
        <v>514</v>
      </c>
      <c r="L598">
        <v>1.27</v>
      </c>
      <c r="M598">
        <v>0.68</v>
      </c>
      <c r="N598">
        <v>0.5354330708661418</v>
      </c>
      <c r="O598">
        <v>0</v>
      </c>
      <c r="P598">
        <v>0.0576615571948691</v>
      </c>
      <c r="Q598">
        <v>0.7742267805224231</v>
      </c>
      <c r="R598" t="s">
        <v>781</v>
      </c>
      <c r="S598" t="s">
        <v>793</v>
      </c>
      <c r="T598">
        <v>14331.952349</v>
      </c>
      <c r="U598" s="2">
        <v>44415</v>
      </c>
      <c r="V598" t="s">
        <v>803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171.87</v>
      </c>
      <c r="D599">
        <v>100</v>
      </c>
      <c r="E599">
        <v>1.7187</v>
      </c>
      <c r="F599">
        <v>0.01768778728108454</v>
      </c>
      <c r="G599">
        <v>-0.1026538897465039</v>
      </c>
      <c r="H599">
        <v>0.04</v>
      </c>
      <c r="I599">
        <v>-0.04256330059348201</v>
      </c>
      <c r="J599" t="s">
        <v>514</v>
      </c>
      <c r="K599" t="s">
        <v>777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0.5625489247076141</v>
      </c>
      <c r="R599" t="s">
        <v>779</v>
      </c>
      <c r="S599" t="s">
        <v>786</v>
      </c>
      <c r="T599">
        <v>69619.476</v>
      </c>
      <c r="U599" s="2">
        <v>44502</v>
      </c>
      <c r="V599" t="s">
        <v>795</v>
      </c>
    </row>
    <row r="600" spans="1:22">
      <c r="A600" s="1" t="s">
        <v>620</v>
      </c>
      <c r="B600">
        <f>HYPERLINK("https://www.suredividend.com/sure-analysis-LAMR/","Lamar Advertising Co")</f>
        <v>0</v>
      </c>
      <c r="C600">
        <v>120.24</v>
      </c>
      <c r="D600">
        <v>75</v>
      </c>
      <c r="E600">
        <v>1.6032</v>
      </c>
      <c r="F600">
        <v>0.0249500998003992</v>
      </c>
      <c r="G600">
        <v>-0.09008157503197134</v>
      </c>
      <c r="H600">
        <v>0.008</v>
      </c>
      <c r="I600">
        <v>-0.04416210619797012</v>
      </c>
      <c r="J600" t="s">
        <v>514</v>
      </c>
      <c r="K600" t="s">
        <v>514</v>
      </c>
      <c r="L600">
        <v>6.25</v>
      </c>
      <c r="M600">
        <v>3</v>
      </c>
      <c r="N600">
        <v>0.48</v>
      </c>
      <c r="O600">
        <v>0</v>
      </c>
      <c r="P600">
        <v>0.05922384104881218</v>
      </c>
      <c r="Q600">
        <v>0.5924228856046591</v>
      </c>
      <c r="R600" t="s">
        <v>781</v>
      </c>
      <c r="S600" t="s">
        <v>793</v>
      </c>
      <c r="T600">
        <v>10575.470505</v>
      </c>
      <c r="U600" s="2">
        <v>44431</v>
      </c>
      <c r="V600" t="s">
        <v>803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38.57</v>
      </c>
      <c r="D601">
        <v>20</v>
      </c>
      <c r="E601">
        <v>1.9285</v>
      </c>
      <c r="F601">
        <v>0.0155561317085818</v>
      </c>
      <c r="G601">
        <v>-0.1230878825055485</v>
      </c>
      <c r="H601">
        <v>0.05</v>
      </c>
      <c r="I601">
        <v>-0.05855029218980334</v>
      </c>
      <c r="J601" t="s">
        <v>514</v>
      </c>
      <c r="K601" t="s">
        <v>777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0.7474532229205441</v>
      </c>
      <c r="R601" t="s">
        <v>779</v>
      </c>
      <c r="S601" t="s">
        <v>783</v>
      </c>
      <c r="T601">
        <v>1273.140089</v>
      </c>
      <c r="U601" s="2">
        <v>44491</v>
      </c>
      <c r="V601" t="s">
        <v>797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4.5</v>
      </c>
      <c r="D602">
        <v>6.3</v>
      </c>
      <c r="E602">
        <v>0.7142857142857143</v>
      </c>
      <c r="F602">
        <v>0.1066666666666667</v>
      </c>
      <c r="G602">
        <v>0.06961037572506878</v>
      </c>
      <c r="H602">
        <v>0.02</v>
      </c>
      <c r="I602">
        <v>0.1576381720682345</v>
      </c>
      <c r="J602" t="s">
        <v>777</v>
      </c>
      <c r="K602" t="s">
        <v>776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0.232987280469815</v>
      </c>
      <c r="R602" t="s">
        <v>779</v>
      </c>
      <c r="S602" t="s">
        <v>783</v>
      </c>
      <c r="T602">
        <v>24976.577036</v>
      </c>
      <c r="U602" s="2">
        <v>44434</v>
      </c>
      <c r="V602" t="s">
        <v>797</v>
      </c>
    </row>
    <row r="603" spans="1:22">
      <c r="A603" s="1" t="s">
        <v>623</v>
      </c>
      <c r="B603">
        <f>HYPERLINK("https://www.suredividend.com/sure-analysis-SCCO/","Southern Copper Corporation")</f>
        <v>0</v>
      </c>
      <c r="C603">
        <v>58.21</v>
      </c>
      <c r="D603">
        <v>80</v>
      </c>
      <c r="E603">
        <v>0.727625</v>
      </c>
      <c r="F603">
        <v>0.05497337227280536</v>
      </c>
      <c r="G603">
        <v>0.06565954086357206</v>
      </c>
      <c r="H603">
        <v>0.05</v>
      </c>
      <c r="I603">
        <v>0.1569405773227179</v>
      </c>
      <c r="J603" t="s">
        <v>777</v>
      </c>
      <c r="K603" t="s">
        <v>370</v>
      </c>
      <c r="L603">
        <v>4.43</v>
      </c>
      <c r="M603">
        <v>3.2</v>
      </c>
      <c r="N603">
        <v>0.7223476297968399</v>
      </c>
      <c r="O603">
        <v>0</v>
      </c>
      <c r="P603">
        <v>0.04978904632428516</v>
      </c>
      <c r="Q603">
        <v>0.147687549642954</v>
      </c>
      <c r="R603" t="s">
        <v>779</v>
      </c>
      <c r="S603" t="s">
        <v>787</v>
      </c>
      <c r="T603">
        <v>46245.721512</v>
      </c>
      <c r="U603" s="2">
        <v>44498</v>
      </c>
      <c r="V603" t="s">
        <v>801</v>
      </c>
    </row>
    <row r="604" spans="1:22">
      <c r="A604" s="1" t="s">
        <v>624</v>
      </c>
      <c r="B604">
        <f>HYPERLINK("https://www.suredividend.com/sure-analysis-SNP/","China Petroleum &amp; Chemical Corp")</f>
        <v>0</v>
      </c>
      <c r="C604">
        <v>48.51</v>
      </c>
      <c r="D604">
        <v>77</v>
      </c>
      <c r="E604">
        <v>0.63</v>
      </c>
      <c r="F604">
        <v>0.0927643784786642</v>
      </c>
      <c r="G604">
        <v>0.09681123419972182</v>
      </c>
      <c r="H604">
        <v>0</v>
      </c>
      <c r="I604">
        <v>0.1565749659437492</v>
      </c>
      <c r="J604" t="s">
        <v>777</v>
      </c>
      <c r="K604" t="s">
        <v>776</v>
      </c>
      <c r="L604">
        <v>7.3</v>
      </c>
      <c r="M604">
        <v>4.5</v>
      </c>
      <c r="N604">
        <v>0.6164383561643836</v>
      </c>
      <c r="O604">
        <v>0</v>
      </c>
      <c r="P604">
        <v>0.01299136822423641</v>
      </c>
      <c r="Q604">
        <v>0.213294739005444</v>
      </c>
      <c r="R604" t="s">
        <v>779</v>
      </c>
      <c r="S604" t="s">
        <v>792</v>
      </c>
      <c r="T604">
        <v>12501.584914</v>
      </c>
      <c r="U604" s="2">
        <v>44442</v>
      </c>
      <c r="V604" t="s">
        <v>802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28.76</v>
      </c>
      <c r="D605">
        <v>40</v>
      </c>
      <c r="E605">
        <v>0.7190000000000001</v>
      </c>
      <c r="F605">
        <v>0.09318497913769123</v>
      </c>
      <c r="G605">
        <v>0.06820405417779507</v>
      </c>
      <c r="H605">
        <v>0.02</v>
      </c>
      <c r="I605">
        <v>0.1505312951176947</v>
      </c>
      <c r="J605" t="s">
        <v>777</v>
      </c>
      <c r="K605" t="s">
        <v>776</v>
      </c>
      <c r="L605">
        <v>3.3</v>
      </c>
      <c r="M605">
        <v>2.68</v>
      </c>
      <c r="N605">
        <v>0.8121212121212122</v>
      </c>
      <c r="O605">
        <v>18</v>
      </c>
      <c r="P605">
        <v>0.01023605168466424</v>
      </c>
      <c r="Q605">
        <v>-0.108411858623172</v>
      </c>
      <c r="R605" t="s">
        <v>781</v>
      </c>
      <c r="S605" t="s">
        <v>793</v>
      </c>
      <c r="T605">
        <v>6805.982995</v>
      </c>
      <c r="U605" s="2">
        <v>44424</v>
      </c>
      <c r="V605" t="s">
        <v>798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271.66</v>
      </c>
      <c r="D606">
        <v>158</v>
      </c>
      <c r="E606">
        <v>1.719367088607595</v>
      </c>
      <c r="F606">
        <v>0.02208643156887286</v>
      </c>
      <c r="G606">
        <v>-0.1027235319181374</v>
      </c>
      <c r="H606">
        <v>0.25</v>
      </c>
      <c r="I606">
        <v>0.145482619680531</v>
      </c>
      <c r="J606" t="s">
        <v>777</v>
      </c>
      <c r="K606" t="s">
        <v>777</v>
      </c>
      <c r="L606">
        <v>6.6</v>
      </c>
      <c r="M606">
        <v>6</v>
      </c>
      <c r="N606">
        <v>0.9090909090909092</v>
      </c>
      <c r="O606">
        <v>4</v>
      </c>
      <c r="P606">
        <v>0.2000012860054741</v>
      </c>
      <c r="Q606">
        <v>0.990896328753137</v>
      </c>
      <c r="R606" t="s">
        <v>781</v>
      </c>
      <c r="S606" t="s">
        <v>793</v>
      </c>
      <c r="T606">
        <v>6719.067763</v>
      </c>
      <c r="U606" s="2">
        <v>44509</v>
      </c>
      <c r="V606" t="s">
        <v>794</v>
      </c>
    </row>
    <row r="607" spans="1:22">
      <c r="A607" s="1" t="s">
        <v>627</v>
      </c>
      <c r="B607">
        <f>HYPERLINK("https://www.suredividend.com/sure-analysis-APAM/","Artisan Partners Asset Management Inc")</f>
        <v>0</v>
      </c>
      <c r="C607">
        <v>50.6</v>
      </c>
      <c r="D607">
        <v>61</v>
      </c>
      <c r="E607">
        <v>0.8295081967213115</v>
      </c>
      <c r="F607">
        <v>0.07905138339920949</v>
      </c>
      <c r="G607">
        <v>0.03809204648085873</v>
      </c>
      <c r="H607">
        <v>0.05</v>
      </c>
      <c r="I607">
        <v>0.1453535974447147</v>
      </c>
      <c r="J607" t="s">
        <v>777</v>
      </c>
      <c r="K607" t="s">
        <v>370</v>
      </c>
      <c r="L607">
        <v>5.1</v>
      </c>
      <c r="M607">
        <v>4</v>
      </c>
      <c r="N607">
        <v>0.7843137254901962</v>
      </c>
      <c r="O607">
        <v>2</v>
      </c>
      <c r="P607">
        <v>0.03012896281839894</v>
      </c>
      <c r="Q607">
        <v>0.21947472780426</v>
      </c>
      <c r="R607" t="s">
        <v>779</v>
      </c>
      <c r="S607" t="s">
        <v>790</v>
      </c>
      <c r="T607">
        <v>3365.139976</v>
      </c>
      <c r="U607" s="2">
        <v>44424</v>
      </c>
      <c r="V607" t="s">
        <v>798</v>
      </c>
    </row>
    <row r="608" spans="1:22">
      <c r="A608" s="1" t="s">
        <v>628</v>
      </c>
      <c r="B608">
        <f>HYPERLINK("https://www.suredividend.com/sure-analysis-ORAN/","Orange.")</f>
        <v>0</v>
      </c>
      <c r="C608">
        <v>11.31</v>
      </c>
      <c r="D608">
        <v>15</v>
      </c>
      <c r="E608">
        <v>0.754</v>
      </c>
      <c r="F608">
        <v>0.09549071618037136</v>
      </c>
      <c r="G608">
        <v>0.05809760368857519</v>
      </c>
      <c r="H608">
        <v>0.02</v>
      </c>
      <c r="I608">
        <v>0.1437804441337522</v>
      </c>
      <c r="J608" t="s">
        <v>777</v>
      </c>
      <c r="K608" t="s">
        <v>776</v>
      </c>
      <c r="L608">
        <v>1.51</v>
      </c>
      <c r="M608">
        <v>1.08</v>
      </c>
      <c r="N608">
        <v>0.7152317880794702</v>
      </c>
      <c r="O608">
        <v>1</v>
      </c>
      <c r="P608">
        <v>0.01087212085035083</v>
      </c>
      <c r="Q608">
        <v>0.071972581873571</v>
      </c>
      <c r="R608" t="s">
        <v>779</v>
      </c>
      <c r="S608" t="s">
        <v>783</v>
      </c>
      <c r="T608">
        <v>29944.097282</v>
      </c>
      <c r="U608" s="2">
        <v>44496</v>
      </c>
      <c r="V608" t="s">
        <v>805</v>
      </c>
    </row>
    <row r="609" spans="1:22">
      <c r="A609" s="1" t="s">
        <v>629</v>
      </c>
      <c r="B609">
        <f>HYPERLINK("https://www.suredividend.com/sure-analysis-CLPR/","Clipper Realty Inc")</f>
        <v>0</v>
      </c>
      <c r="C609">
        <v>9.23</v>
      </c>
      <c r="D609">
        <v>11.71</v>
      </c>
      <c r="E609">
        <v>0.7882152006831767</v>
      </c>
      <c r="F609">
        <v>0.04117009750812568</v>
      </c>
      <c r="G609">
        <v>0.04874774206433496</v>
      </c>
      <c r="H609">
        <v>0.055</v>
      </c>
      <c r="I609">
        <v>0.1326300489259351</v>
      </c>
      <c r="J609" t="s">
        <v>777</v>
      </c>
      <c r="K609" t="s">
        <v>514</v>
      </c>
      <c r="L609">
        <v>0.38</v>
      </c>
      <c r="M609">
        <v>0.38</v>
      </c>
      <c r="N609">
        <v>1</v>
      </c>
      <c r="O609">
        <v>0</v>
      </c>
      <c r="P609">
        <v>0</v>
      </c>
      <c r="Q609">
        <v>0.6554596033723581</v>
      </c>
      <c r="R609" t="s">
        <v>781</v>
      </c>
      <c r="S609" t="s">
        <v>793</v>
      </c>
      <c r="T609">
        <v>155.813312</v>
      </c>
      <c r="U609" s="2">
        <v>44445</v>
      </c>
      <c r="V609" t="s">
        <v>803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38.39</v>
      </c>
      <c r="D610">
        <v>44</v>
      </c>
      <c r="E610">
        <v>0.8725000000000001</v>
      </c>
      <c r="F610">
        <v>0.09116957541026309</v>
      </c>
      <c r="G610">
        <v>0.02765399021467529</v>
      </c>
      <c r="H610">
        <v>0.04</v>
      </c>
      <c r="I610">
        <v>0.1309621641028371</v>
      </c>
      <c r="J610" t="s">
        <v>777</v>
      </c>
      <c r="K610" t="s">
        <v>776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0.7339629507993001</v>
      </c>
      <c r="R610" t="s">
        <v>780</v>
      </c>
      <c r="S610" t="s">
        <v>792</v>
      </c>
      <c r="T610">
        <v>8921.249503999999</v>
      </c>
      <c r="U610" s="2">
        <v>44501</v>
      </c>
      <c r="V610" t="s">
        <v>802</v>
      </c>
    </row>
    <row r="611" spans="1:22">
      <c r="A611" s="1" t="s">
        <v>631</v>
      </c>
      <c r="B611">
        <f>HYPERLINK("https://www.suredividend.com/sure-analysis-GECC/","Great Elm Capital Corp")</f>
        <v>0</v>
      </c>
      <c r="C611">
        <v>3.49</v>
      </c>
      <c r="D611">
        <v>3.5</v>
      </c>
      <c r="E611">
        <v>0.9971428571428572</v>
      </c>
      <c r="F611">
        <v>0.1146131805157593</v>
      </c>
      <c r="G611">
        <v>0.0005724102204460735</v>
      </c>
      <c r="H611">
        <v>0.042</v>
      </c>
      <c r="I611">
        <v>0.1253680634621006</v>
      </c>
      <c r="J611" t="s">
        <v>777</v>
      </c>
      <c r="K611" t="s">
        <v>370</v>
      </c>
      <c r="L611">
        <v>0.33</v>
      </c>
      <c r="M611">
        <v>0.4</v>
      </c>
      <c r="N611">
        <v>1.212121212121212</v>
      </c>
      <c r="O611">
        <v>0</v>
      </c>
      <c r="P611">
        <v>0</v>
      </c>
      <c r="Q611">
        <v>0.401043757527097</v>
      </c>
      <c r="R611" t="s">
        <v>782</v>
      </c>
      <c r="S611" t="s">
        <v>790</v>
      </c>
      <c r="T611">
        <v>93.90078099999999</v>
      </c>
      <c r="U611" s="2">
        <v>44421</v>
      </c>
      <c r="V611" t="s">
        <v>803</v>
      </c>
    </row>
    <row r="612" spans="1:22">
      <c r="A612" s="1" t="s">
        <v>632</v>
      </c>
      <c r="B612">
        <f>HYPERLINK("https://www.suredividend.com/sure-analysis-PMT/","Pennymac Mortgage Investment Trust")</f>
        <v>0</v>
      </c>
      <c r="C612">
        <v>18.88</v>
      </c>
      <c r="D612">
        <v>23</v>
      </c>
      <c r="E612">
        <v>0.8208695652173913</v>
      </c>
      <c r="F612">
        <v>0.09957627118644068</v>
      </c>
      <c r="G612">
        <v>0.04026783228628505</v>
      </c>
      <c r="H612">
        <v>0.01</v>
      </c>
      <c r="I612">
        <v>0.1220138817673839</v>
      </c>
      <c r="J612" t="s">
        <v>777</v>
      </c>
      <c r="K612" t="s">
        <v>776</v>
      </c>
      <c r="L612">
        <v>2.53</v>
      </c>
      <c r="M612">
        <v>1.88</v>
      </c>
      <c r="N612">
        <v>0.7430830039525692</v>
      </c>
      <c r="O612">
        <v>0</v>
      </c>
      <c r="P612">
        <v>0</v>
      </c>
      <c r="Q612">
        <v>0.273811944952884</v>
      </c>
      <c r="R612" t="s">
        <v>781</v>
      </c>
      <c r="S612" t="s">
        <v>790</v>
      </c>
      <c r="T612">
        <v>1822.75578</v>
      </c>
      <c r="U612" s="2">
        <v>44417</v>
      </c>
      <c r="V612" t="s">
        <v>801</v>
      </c>
    </row>
    <row r="613" spans="1:22">
      <c r="A613" s="1" t="s">
        <v>633</v>
      </c>
      <c r="B613">
        <f>HYPERLINK("https://www.suredividend.com/sure-analysis-VGR/","Vector Group Ltd")</f>
        <v>0</v>
      </c>
      <c r="C613">
        <v>15.34</v>
      </c>
      <c r="D613">
        <v>20</v>
      </c>
      <c r="E613">
        <v>0.767</v>
      </c>
      <c r="F613">
        <v>0.05215123859191656</v>
      </c>
      <c r="G613">
        <v>0.05448626479069008</v>
      </c>
      <c r="H613">
        <v>0.03</v>
      </c>
      <c r="I613">
        <v>0.1212496847059141</v>
      </c>
      <c r="J613" t="s">
        <v>777</v>
      </c>
      <c r="K613" t="s">
        <v>370</v>
      </c>
      <c r="L613">
        <v>1</v>
      </c>
      <c r="M613">
        <v>0.8</v>
      </c>
      <c r="N613">
        <v>0.8</v>
      </c>
      <c r="O613">
        <v>0</v>
      </c>
      <c r="P613">
        <v>0</v>
      </c>
      <c r="Q613">
        <v>0.578757442713658</v>
      </c>
      <c r="R613" t="s">
        <v>779</v>
      </c>
      <c r="S613" t="s">
        <v>789</v>
      </c>
      <c r="T613">
        <v>2428.565407</v>
      </c>
      <c r="U613" s="2">
        <v>44454</v>
      </c>
      <c r="V613" t="s">
        <v>800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25.88</v>
      </c>
      <c r="D614">
        <v>29</v>
      </c>
      <c r="E614">
        <v>0.8924137931034483</v>
      </c>
      <c r="F614">
        <v>0.05255023183925812</v>
      </c>
      <c r="G614">
        <v>0.02302617389342387</v>
      </c>
      <c r="H614">
        <v>0.05</v>
      </c>
      <c r="I614">
        <v>0.1165674068584055</v>
      </c>
      <c r="J614" t="s">
        <v>777</v>
      </c>
      <c r="K614" t="s">
        <v>514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0.868340699933807</v>
      </c>
      <c r="R614" t="s">
        <v>779</v>
      </c>
      <c r="S614" t="s">
        <v>792</v>
      </c>
      <c r="T614">
        <v>38401.295048</v>
      </c>
      <c r="U614" s="2">
        <v>44502</v>
      </c>
      <c r="V614" t="s">
        <v>802</v>
      </c>
    </row>
    <row r="615" spans="1:22">
      <c r="A615" s="1" t="s">
        <v>635</v>
      </c>
      <c r="B615">
        <f>HYPERLINK("https://www.suredividend.com/sure-analysis-VICI/","VICI Properties Inc")</f>
        <v>0</v>
      </c>
      <c r="C615">
        <v>28.92</v>
      </c>
      <c r="D615">
        <v>31</v>
      </c>
      <c r="E615">
        <v>0.9329032258064517</v>
      </c>
      <c r="F615">
        <v>0.04979253112033195</v>
      </c>
      <c r="G615">
        <v>0.01398768633247105</v>
      </c>
      <c r="H615">
        <v>0.06</v>
      </c>
      <c r="I615">
        <v>0.1161533192351742</v>
      </c>
      <c r="J615" t="s">
        <v>777</v>
      </c>
      <c r="K615" t="s">
        <v>370</v>
      </c>
      <c r="L615">
        <v>2</v>
      </c>
      <c r="M615">
        <v>1.44</v>
      </c>
      <c r="N615">
        <v>0.72</v>
      </c>
      <c r="O615">
        <v>3</v>
      </c>
      <c r="P615">
        <v>0.06032490771095733</v>
      </c>
      <c r="Q615">
        <v>0.287079465272183</v>
      </c>
      <c r="R615" t="s">
        <v>781</v>
      </c>
      <c r="S615" t="s">
        <v>793</v>
      </c>
      <c r="T615">
        <v>18390.382005</v>
      </c>
      <c r="U615" s="2">
        <v>44509</v>
      </c>
      <c r="V615" t="s">
        <v>802</v>
      </c>
    </row>
    <row r="616" spans="1:22">
      <c r="A616" s="1" t="s">
        <v>636</v>
      </c>
      <c r="B616">
        <f>HYPERLINK("https://www.suredividend.com/sure-analysis-DHT/","DHT Holdings Inc")</f>
        <v>0</v>
      </c>
      <c r="C616">
        <v>6.19</v>
      </c>
      <c r="D616">
        <v>6</v>
      </c>
      <c r="E616">
        <v>1.031666666666667</v>
      </c>
      <c r="F616">
        <v>0.0210016155088853</v>
      </c>
      <c r="G616">
        <v>-0.006215725448540987</v>
      </c>
      <c r="H616">
        <v>0.1</v>
      </c>
      <c r="I616">
        <v>0.1160418254614044</v>
      </c>
      <c r="J616" t="s">
        <v>777</v>
      </c>
      <c r="K616" t="s">
        <v>777</v>
      </c>
      <c r="L616">
        <v>-0.1</v>
      </c>
      <c r="M616">
        <v>0.13</v>
      </c>
      <c r="N616">
        <v>9.99</v>
      </c>
      <c r="O616">
        <v>0</v>
      </c>
      <c r="P616">
        <v>0.1658506946484593</v>
      </c>
      <c r="Q616">
        <v>0.278683141086162</v>
      </c>
      <c r="R616" t="s">
        <v>779</v>
      </c>
      <c r="S616" t="s">
        <v>792</v>
      </c>
      <c r="T616">
        <v>1064.073583</v>
      </c>
      <c r="U616" s="2">
        <v>44509</v>
      </c>
      <c r="V616" t="s">
        <v>802</v>
      </c>
    </row>
    <row r="617" spans="1:22">
      <c r="A617" s="1" t="s">
        <v>637</v>
      </c>
      <c r="B617">
        <f>HYPERLINK("https://www.suredividend.com/sure-analysis-PINE/","Alpine Income Property Trust Inc")</f>
        <v>0</v>
      </c>
      <c r="C617">
        <v>18.97</v>
      </c>
      <c r="D617">
        <v>18.88</v>
      </c>
      <c r="E617">
        <v>1.004766949152542</v>
      </c>
      <c r="F617">
        <v>0.05376910911966263</v>
      </c>
      <c r="G617">
        <v>-0.0009506724702373903</v>
      </c>
      <c r="H617">
        <v>0.07000000000000001</v>
      </c>
      <c r="I617">
        <v>0.1154284650303432</v>
      </c>
      <c r="J617" t="s">
        <v>777</v>
      </c>
      <c r="K617" t="s">
        <v>370</v>
      </c>
      <c r="L617">
        <v>1.51</v>
      </c>
      <c r="M617">
        <v>1.02</v>
      </c>
      <c r="N617">
        <v>0.6754966887417219</v>
      </c>
      <c r="O617">
        <v>2</v>
      </c>
      <c r="P617">
        <v>0.06990981876632385</v>
      </c>
      <c r="Q617">
        <v>0.35742068580188</v>
      </c>
      <c r="R617" t="s">
        <v>781</v>
      </c>
      <c r="S617" t="s">
        <v>793</v>
      </c>
      <c r="T617">
        <v>214.194541</v>
      </c>
      <c r="U617" s="2">
        <v>44494</v>
      </c>
      <c r="V617" t="s">
        <v>794</v>
      </c>
    </row>
    <row r="618" spans="1:22">
      <c r="A618" s="1" t="s">
        <v>638</v>
      </c>
      <c r="B618">
        <f>HYPERLINK("https://www.suredividend.com/sure-analysis-IEP/","Icahn Enterprises L P")</f>
        <v>0</v>
      </c>
      <c r="C618">
        <v>56.96</v>
      </c>
      <c r="D618">
        <v>58</v>
      </c>
      <c r="E618">
        <v>0.9820689655172414</v>
      </c>
      <c r="F618">
        <v>0.1404494382022472</v>
      </c>
      <c r="G618">
        <v>0.003625304264851081</v>
      </c>
      <c r="H618">
        <v>0</v>
      </c>
      <c r="I618">
        <v>0.1146312606883846</v>
      </c>
      <c r="J618" t="s">
        <v>777</v>
      </c>
      <c r="K618" t="s">
        <v>370</v>
      </c>
      <c r="L618">
        <v>8</v>
      </c>
      <c r="M618">
        <v>8</v>
      </c>
      <c r="N618">
        <v>1</v>
      </c>
      <c r="O618">
        <v>0</v>
      </c>
      <c r="P618">
        <v>0</v>
      </c>
      <c r="Q618">
        <v>0.290105828993784</v>
      </c>
      <c r="R618" t="s">
        <v>780</v>
      </c>
      <c r="S618" t="s">
        <v>786</v>
      </c>
      <c r="T618">
        <v>16047.680141</v>
      </c>
      <c r="U618" s="2">
        <v>44416</v>
      </c>
      <c r="V618" t="s">
        <v>794</v>
      </c>
    </row>
    <row r="619" spans="1:22">
      <c r="A619" s="1" t="s">
        <v>639</v>
      </c>
      <c r="B619">
        <f>HYPERLINK("https://www.suredividend.com/sure-analysis-QSR/","Restaurant Brands International Inc")</f>
        <v>0</v>
      </c>
      <c r="C619">
        <v>57.68</v>
      </c>
      <c r="D619">
        <v>53</v>
      </c>
      <c r="E619">
        <v>1.088301886792453</v>
      </c>
      <c r="F619">
        <v>0.03675450762829404</v>
      </c>
      <c r="G619">
        <v>-0.01678131425844576</v>
      </c>
      <c r="H619">
        <v>0.1</v>
      </c>
      <c r="I619">
        <v>0.1098520317663998</v>
      </c>
      <c r="J619" t="s">
        <v>777</v>
      </c>
      <c r="K619" t="s">
        <v>514</v>
      </c>
      <c r="L619">
        <v>2.8</v>
      </c>
      <c r="M619">
        <v>2.12</v>
      </c>
      <c r="N619">
        <v>0.7571428571428572</v>
      </c>
      <c r="O619">
        <v>9</v>
      </c>
      <c r="P619">
        <v>0.03517300006217261</v>
      </c>
      <c r="Q619">
        <v>0.033802806875171</v>
      </c>
      <c r="R619" t="s">
        <v>779</v>
      </c>
      <c r="S619" t="s">
        <v>788</v>
      </c>
      <c r="T619">
        <v>18302.52063</v>
      </c>
      <c r="U619" s="2">
        <v>44495</v>
      </c>
      <c r="V619" t="s">
        <v>802</v>
      </c>
    </row>
    <row r="620" spans="1:22">
      <c r="A620" s="1" t="s">
        <v>640</v>
      </c>
      <c r="B620">
        <f>HYPERLINK("https://www.suredividend.com/sure-analysis-LTC/","LTC Properties, Inc.")</f>
        <v>0</v>
      </c>
      <c r="C620">
        <v>34.25</v>
      </c>
      <c r="D620">
        <v>36</v>
      </c>
      <c r="E620">
        <v>0.9513888888888888</v>
      </c>
      <c r="F620">
        <v>0.06656934306569343</v>
      </c>
      <c r="G620">
        <v>0.01001630546698773</v>
      </c>
      <c r="H620">
        <v>0.05</v>
      </c>
      <c r="I620">
        <v>0.1085842835282493</v>
      </c>
      <c r="J620" t="s">
        <v>777</v>
      </c>
      <c r="K620" t="s">
        <v>370</v>
      </c>
      <c r="L620">
        <v>2.4</v>
      </c>
      <c r="M620">
        <v>2.28</v>
      </c>
      <c r="N620">
        <v>0.95</v>
      </c>
      <c r="O620">
        <v>0</v>
      </c>
      <c r="P620">
        <v>0</v>
      </c>
      <c r="Q620">
        <v>0.02211978230176</v>
      </c>
      <c r="R620" t="s">
        <v>781</v>
      </c>
      <c r="S620" t="s">
        <v>793</v>
      </c>
      <c r="T620">
        <v>1333.992611</v>
      </c>
      <c r="U620" s="2">
        <v>44510</v>
      </c>
      <c r="V620" t="s">
        <v>802</v>
      </c>
    </row>
    <row r="621" spans="1:22">
      <c r="A621" s="1" t="s">
        <v>641</v>
      </c>
      <c r="B621">
        <f>HYPERLINK("https://www.suredividend.com/sure-analysis-TWO/","Two Harbors Investment Corp")</f>
        <v>0</v>
      </c>
      <c r="C621">
        <v>6.19</v>
      </c>
      <c r="D621">
        <v>6.3</v>
      </c>
      <c r="E621">
        <v>0.9825396825396826</v>
      </c>
      <c r="F621">
        <v>0.1098546042003231</v>
      </c>
      <c r="G621">
        <v>0.003529122078802072</v>
      </c>
      <c r="H621">
        <v>0.018</v>
      </c>
      <c r="I621">
        <v>0.1082286769790408</v>
      </c>
      <c r="J621" t="s">
        <v>777</v>
      </c>
      <c r="K621" t="s">
        <v>370</v>
      </c>
      <c r="L621">
        <v>0.73</v>
      </c>
      <c r="M621">
        <v>0.68</v>
      </c>
      <c r="N621">
        <v>0.9315068493150686</v>
      </c>
      <c r="O621">
        <v>0</v>
      </c>
      <c r="P621">
        <v>0.005814345444414393</v>
      </c>
      <c r="Q621">
        <v>0.205440721354067</v>
      </c>
      <c r="R621" t="s">
        <v>781</v>
      </c>
      <c r="S621" t="s">
        <v>793</v>
      </c>
      <c r="T621">
        <v>1980.710432</v>
      </c>
      <c r="U621" s="2">
        <v>44420</v>
      </c>
      <c r="V621" t="s">
        <v>803</v>
      </c>
    </row>
    <row r="622" spans="1:22">
      <c r="A622" s="1" t="s">
        <v>642</v>
      </c>
      <c r="B622">
        <f>HYPERLINK("https://www.suredividend.com/sure-analysis-NEWT/","Newtek Business Services Corp")</f>
        <v>0</v>
      </c>
      <c r="C622">
        <v>29.04</v>
      </c>
      <c r="D622">
        <v>27</v>
      </c>
      <c r="E622">
        <v>1.075555555555556</v>
      </c>
      <c r="F622">
        <v>0.1084710743801653</v>
      </c>
      <c r="G622">
        <v>-0.01446187263375187</v>
      </c>
      <c r="H622">
        <v>0.03</v>
      </c>
      <c r="I622">
        <v>0.1078553408882013</v>
      </c>
      <c r="J622" t="s">
        <v>777</v>
      </c>
      <c r="K622" t="s">
        <v>370</v>
      </c>
      <c r="L622">
        <v>3.3</v>
      </c>
      <c r="M622">
        <v>3.15</v>
      </c>
      <c r="N622">
        <v>0.9545454545454546</v>
      </c>
      <c r="O622">
        <v>0</v>
      </c>
      <c r="P622">
        <v>0.02877218634269907</v>
      </c>
      <c r="Q622">
        <v>0.8403352288215641</v>
      </c>
      <c r="R622" t="s">
        <v>782</v>
      </c>
      <c r="S622" t="s">
        <v>790</v>
      </c>
      <c r="T622">
        <v>654.549512</v>
      </c>
      <c r="U622" s="2">
        <v>44426</v>
      </c>
      <c r="V622" t="s">
        <v>794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15.79</v>
      </c>
      <c r="D623">
        <v>14.8</v>
      </c>
      <c r="E623">
        <v>1.066891891891892</v>
      </c>
      <c r="F623">
        <v>0.1329955668144395</v>
      </c>
      <c r="G623">
        <v>-0.01286643994567482</v>
      </c>
      <c r="H623">
        <v>0.01</v>
      </c>
      <c r="I623">
        <v>0.1053545890417975</v>
      </c>
      <c r="J623" t="s">
        <v>777</v>
      </c>
      <c r="K623" t="s">
        <v>370</v>
      </c>
      <c r="L623">
        <v>2.11</v>
      </c>
      <c r="M623">
        <v>2.1</v>
      </c>
      <c r="N623">
        <v>0.9952606635071091</v>
      </c>
      <c r="O623">
        <v>0</v>
      </c>
      <c r="P623">
        <v>0</v>
      </c>
      <c r="Q623">
        <v>0.759286645415009</v>
      </c>
      <c r="R623" t="s">
        <v>780</v>
      </c>
      <c r="S623" t="s">
        <v>792</v>
      </c>
      <c r="T623">
        <v>1558.899553</v>
      </c>
      <c r="U623" s="2">
        <v>44502</v>
      </c>
      <c r="V623" t="s">
        <v>801</v>
      </c>
    </row>
    <row r="624" spans="1:22">
      <c r="A624" s="1" t="s">
        <v>644</v>
      </c>
      <c r="B624">
        <f>HYPERLINK("https://www.suredividend.com/sure-analysis-CQP/","Cheniere Energy Partners LP")</f>
        <v>0</v>
      </c>
      <c r="C624">
        <v>42.36</v>
      </c>
      <c r="D624">
        <v>45</v>
      </c>
      <c r="E624">
        <v>0.9413333333333334</v>
      </c>
      <c r="F624">
        <v>0.06279508970727102</v>
      </c>
      <c r="G624">
        <v>0.01216499266588422</v>
      </c>
      <c r="H624">
        <v>0.04</v>
      </c>
      <c r="I624">
        <v>0.1026694753785389</v>
      </c>
      <c r="J624" t="s">
        <v>777</v>
      </c>
      <c r="K624" t="s">
        <v>370</v>
      </c>
      <c r="L624">
        <v>2.9</v>
      </c>
      <c r="M624">
        <v>2.66</v>
      </c>
      <c r="N624">
        <v>0.9172413793103449</v>
      </c>
      <c r="O624">
        <v>5</v>
      </c>
      <c r="P624">
        <v>0.02434894295516754</v>
      </c>
      <c r="Q624">
        <v>0.272460178351329</v>
      </c>
      <c r="R624" t="s">
        <v>780</v>
      </c>
      <c r="S624" t="s">
        <v>792</v>
      </c>
      <c r="T624">
        <v>20837.30307</v>
      </c>
      <c r="U624" s="2">
        <v>44509</v>
      </c>
      <c r="V624" t="s">
        <v>802</v>
      </c>
    </row>
    <row r="625" spans="1:22">
      <c r="A625" s="1" t="s">
        <v>645</v>
      </c>
      <c r="B625">
        <f>HYPERLINK("https://www.suredividend.com/sure-analysis-CTO/","CTO Realty Growth Inc")</f>
        <v>0</v>
      </c>
      <c r="C625">
        <v>55.88</v>
      </c>
      <c r="D625">
        <v>56</v>
      </c>
      <c r="E625">
        <v>0.9978571428571429</v>
      </c>
      <c r="F625">
        <v>0.07158196134574087</v>
      </c>
      <c r="G625">
        <v>0.0004291233163558061</v>
      </c>
      <c r="H625">
        <v>0.045</v>
      </c>
      <c r="I625">
        <v>0.1025164375634331</v>
      </c>
      <c r="J625" t="s">
        <v>777</v>
      </c>
      <c r="K625" t="s">
        <v>370</v>
      </c>
      <c r="L625">
        <v>4.15</v>
      </c>
      <c r="M625">
        <v>4</v>
      </c>
      <c r="N625">
        <v>0.9638554216867469</v>
      </c>
      <c r="O625">
        <v>8</v>
      </c>
      <c r="P625">
        <v>0.02016978262061087</v>
      </c>
      <c r="Q625">
        <v>0.250169277298785</v>
      </c>
      <c r="R625" t="s">
        <v>781</v>
      </c>
      <c r="S625" t="s">
        <v>793</v>
      </c>
      <c r="T625">
        <v>330.243489</v>
      </c>
      <c r="U625" s="2">
        <v>44502</v>
      </c>
      <c r="V625" t="s">
        <v>801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18.08</v>
      </c>
      <c r="D626">
        <v>18.8</v>
      </c>
      <c r="E626">
        <v>0.9617021276595743</v>
      </c>
      <c r="F626">
        <v>0.09955752212389382</v>
      </c>
      <c r="G626">
        <v>0.007840681383612935</v>
      </c>
      <c r="H626">
        <v>0.01</v>
      </c>
      <c r="I626">
        <v>0.09931319617703616</v>
      </c>
      <c r="J626" t="s">
        <v>777</v>
      </c>
      <c r="K626" t="s">
        <v>370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0.480319313248898</v>
      </c>
      <c r="R626" t="s">
        <v>781</v>
      </c>
      <c r="S626" t="s">
        <v>790</v>
      </c>
      <c r="T626">
        <v>1045.757816</v>
      </c>
      <c r="U626" s="2">
        <v>44509</v>
      </c>
      <c r="V626" t="s">
        <v>794</v>
      </c>
    </row>
    <row r="627" spans="1:22">
      <c r="A627" s="1" t="s">
        <v>647</v>
      </c>
      <c r="B627">
        <f>HYPERLINK("https://www.suredividend.com/sure-analysis-CTRE/","CareTrust REIT Inc")</f>
        <v>0</v>
      </c>
      <c r="C627">
        <v>21.33</v>
      </c>
      <c r="D627">
        <v>22</v>
      </c>
      <c r="E627">
        <v>0.9695454545454545</v>
      </c>
      <c r="F627">
        <v>0.04969526488513831</v>
      </c>
      <c r="G627">
        <v>0.006204754406782254</v>
      </c>
      <c r="H627">
        <v>0.05</v>
      </c>
      <c r="I627">
        <v>0.09915328203541707</v>
      </c>
      <c r="J627" t="s">
        <v>777</v>
      </c>
      <c r="K627" t="s">
        <v>370</v>
      </c>
      <c r="L627">
        <v>1.5</v>
      </c>
      <c r="M627">
        <v>1.06</v>
      </c>
      <c r="N627">
        <v>0.7066666666666667</v>
      </c>
      <c r="O627">
        <v>5</v>
      </c>
      <c r="P627">
        <v>0.04955591526723868</v>
      </c>
      <c r="Q627">
        <v>0.170974463557368</v>
      </c>
      <c r="R627" t="s">
        <v>781</v>
      </c>
      <c r="S627" t="s">
        <v>793</v>
      </c>
      <c r="T627">
        <v>2050.304036</v>
      </c>
      <c r="U627" s="2">
        <v>44508</v>
      </c>
      <c r="V627" t="s">
        <v>801</v>
      </c>
    </row>
    <row r="628" spans="1:22">
      <c r="A628" s="1" t="s">
        <v>648</v>
      </c>
      <c r="B628">
        <f>HYPERLINK("https://www.suredividend.com/sure-analysis-SBRA/","Sabra Healthcare REIT Inc")</f>
        <v>0</v>
      </c>
      <c r="C628">
        <v>14.9</v>
      </c>
      <c r="D628">
        <v>14.8</v>
      </c>
      <c r="E628">
        <v>1.006756756756757</v>
      </c>
      <c r="F628">
        <v>0.08053691275167785</v>
      </c>
      <c r="G628">
        <v>-0.001345899899502623</v>
      </c>
      <c r="H628">
        <v>0.034</v>
      </c>
      <c r="I628">
        <v>0.0980975338589003</v>
      </c>
      <c r="J628" t="s">
        <v>777</v>
      </c>
      <c r="K628" t="s">
        <v>370</v>
      </c>
      <c r="L628">
        <v>1.61</v>
      </c>
      <c r="M628">
        <v>1.2</v>
      </c>
      <c r="N628">
        <v>0.7453416149068323</v>
      </c>
      <c r="O628">
        <v>0</v>
      </c>
      <c r="P628">
        <v>0.01613736474159566</v>
      </c>
      <c r="Q628">
        <v>-0.019548629985303</v>
      </c>
      <c r="R628" t="s">
        <v>781</v>
      </c>
      <c r="S628" t="s">
        <v>793</v>
      </c>
      <c r="T628">
        <v>3340.986924</v>
      </c>
      <c r="U628" s="2">
        <v>44420</v>
      </c>
      <c r="V628" t="s">
        <v>803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50.06</v>
      </c>
      <c r="D629">
        <v>53</v>
      </c>
      <c r="E629">
        <v>0.9445283018867925</v>
      </c>
      <c r="F629">
        <v>0.05513383939272872</v>
      </c>
      <c r="G629">
        <v>0.01147931289625026</v>
      </c>
      <c r="H629">
        <v>0.04</v>
      </c>
      <c r="I629">
        <v>0.09713200619509665</v>
      </c>
      <c r="J629" t="s">
        <v>777</v>
      </c>
      <c r="K629" t="s">
        <v>370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0.305127489586886</v>
      </c>
      <c r="R629" t="s">
        <v>779</v>
      </c>
      <c r="S629" t="s">
        <v>792</v>
      </c>
      <c r="T629">
        <v>49462.393759</v>
      </c>
      <c r="U629" s="2">
        <v>44510</v>
      </c>
      <c r="V629" t="s">
        <v>802</v>
      </c>
    </row>
    <row r="630" spans="1:22">
      <c r="A630" s="1" t="s">
        <v>650</v>
      </c>
      <c r="B630">
        <f>HYPERLINK("https://www.suredividend.com/sure-analysis-WSO/","Watsco Inc.")</f>
        <v>0</v>
      </c>
      <c r="C630">
        <v>295.45</v>
      </c>
      <c r="D630">
        <v>257</v>
      </c>
      <c r="E630">
        <v>1.149610894941634</v>
      </c>
      <c r="F630">
        <v>0.02640040616009477</v>
      </c>
      <c r="G630">
        <v>-0.02749951675466866</v>
      </c>
      <c r="H630">
        <v>0.1</v>
      </c>
      <c r="I630">
        <v>0.09554975297786239</v>
      </c>
      <c r="J630" t="s">
        <v>777</v>
      </c>
      <c r="K630" t="s">
        <v>514</v>
      </c>
      <c r="L630">
        <v>10.29</v>
      </c>
      <c r="M630">
        <v>7.8</v>
      </c>
      <c r="N630">
        <v>0.7580174927113703</v>
      </c>
      <c r="O630">
        <v>8</v>
      </c>
      <c r="P630">
        <v>0.0999653567765697</v>
      </c>
      <c r="Q630">
        <v>0.368532307945514</v>
      </c>
      <c r="R630" t="s">
        <v>781</v>
      </c>
      <c r="S630" t="s">
        <v>793</v>
      </c>
      <c r="T630">
        <v>11522.048991</v>
      </c>
      <c r="U630" s="2">
        <v>44490</v>
      </c>
      <c r="V630" t="s">
        <v>795</v>
      </c>
    </row>
    <row r="631" spans="1:22">
      <c r="A631" s="1" t="s">
        <v>651</v>
      </c>
      <c r="B631">
        <f>HYPERLINK("https://www.suredividend.com/sure-analysis-MRCC/","Monroe Capital Corp")</f>
        <v>0</v>
      </c>
      <c r="C631">
        <v>10.72</v>
      </c>
      <c r="D631">
        <v>11.6</v>
      </c>
      <c r="E631">
        <v>0.9241379310344828</v>
      </c>
      <c r="F631">
        <v>0.09328358208955223</v>
      </c>
      <c r="G631">
        <v>0.01590393090929476</v>
      </c>
      <c r="H631">
        <v>0</v>
      </c>
      <c r="I631">
        <v>0.09526394296615903</v>
      </c>
      <c r="J631" t="s">
        <v>777</v>
      </c>
      <c r="K631" t="s">
        <v>776</v>
      </c>
      <c r="L631">
        <v>1.45</v>
      </c>
      <c r="M631">
        <v>1</v>
      </c>
      <c r="N631">
        <v>0.6896551724137931</v>
      </c>
      <c r="O631">
        <v>0</v>
      </c>
      <c r="P631">
        <v>0.01924487649145656</v>
      </c>
      <c r="Q631">
        <v>0.6309635967689621</v>
      </c>
      <c r="R631" t="s">
        <v>782</v>
      </c>
      <c r="S631" t="s">
        <v>790</v>
      </c>
      <c r="T631">
        <v>227.499782</v>
      </c>
      <c r="U631" s="2">
        <v>44507</v>
      </c>
      <c r="V631" t="s">
        <v>794</v>
      </c>
    </row>
    <row r="632" spans="1:22">
      <c r="A632" s="1" t="s">
        <v>652</v>
      </c>
      <c r="B632">
        <f>HYPERLINK("https://www.suredividend.com/sure-analysis-ORCC/","Owl Rock Capital Corp")</f>
        <v>0</v>
      </c>
      <c r="C632">
        <v>14.27</v>
      </c>
      <c r="D632">
        <v>14.64</v>
      </c>
      <c r="E632">
        <v>0.9747267759562841</v>
      </c>
      <c r="F632">
        <v>0.08689558514365803</v>
      </c>
      <c r="G632">
        <v>0.005132743033086307</v>
      </c>
      <c r="H632">
        <v>0.02</v>
      </c>
      <c r="I632">
        <v>0.09401708361892891</v>
      </c>
      <c r="J632" t="s">
        <v>777</v>
      </c>
      <c r="K632" t="s">
        <v>370</v>
      </c>
      <c r="L632">
        <v>1.22</v>
      </c>
      <c r="M632">
        <v>1.24</v>
      </c>
      <c r="N632">
        <v>1.016393442622951</v>
      </c>
      <c r="O632">
        <v>0</v>
      </c>
      <c r="P632">
        <v>0</v>
      </c>
      <c r="Q632">
        <v>0.227087317841003</v>
      </c>
      <c r="R632" t="s">
        <v>782</v>
      </c>
      <c r="S632" t="s">
        <v>790</v>
      </c>
      <c r="T632">
        <v>5700.712033</v>
      </c>
      <c r="U632" s="2">
        <v>44509</v>
      </c>
      <c r="V632" t="s">
        <v>794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4.91</v>
      </c>
      <c r="D633">
        <v>3.6</v>
      </c>
      <c r="E633">
        <v>1.363888888888889</v>
      </c>
      <c r="F633">
        <v>0.1588594704684318</v>
      </c>
      <c r="G633">
        <v>-0.06018104118150525</v>
      </c>
      <c r="H633">
        <v>0.003</v>
      </c>
      <c r="I633">
        <v>0.09171096607690843</v>
      </c>
      <c r="J633" t="s">
        <v>777</v>
      </c>
      <c r="K633" t="s">
        <v>776</v>
      </c>
      <c r="L633">
        <v>0.96</v>
      </c>
      <c r="M633">
        <v>0.78</v>
      </c>
      <c r="N633">
        <v>0.8125000000000001</v>
      </c>
      <c r="O633">
        <v>0</v>
      </c>
      <c r="P633">
        <v>0.005076403090295889</v>
      </c>
      <c r="Q633">
        <v>0.099481044946785</v>
      </c>
      <c r="R633" t="s">
        <v>781</v>
      </c>
      <c r="S633" t="s">
        <v>793</v>
      </c>
      <c r="T633">
        <v>805.786745</v>
      </c>
      <c r="U633" s="2">
        <v>44506</v>
      </c>
      <c r="V633" t="s">
        <v>803</v>
      </c>
    </row>
    <row r="634" spans="1:22">
      <c r="A634" s="1" t="s">
        <v>654</v>
      </c>
      <c r="B634">
        <f>HYPERLINK("https://www.suredividend.com/sure-analysis-AFIN/","American Fin Tr Inc")</f>
        <v>0</v>
      </c>
      <c r="C634">
        <v>8.630000000000001</v>
      </c>
      <c r="D634">
        <v>9</v>
      </c>
      <c r="E634">
        <v>0.958888888888889</v>
      </c>
      <c r="F634">
        <v>0.09849362688296638</v>
      </c>
      <c r="G634">
        <v>0.008431359828341201</v>
      </c>
      <c r="H634">
        <v>0</v>
      </c>
      <c r="I634">
        <v>0.08953457481224159</v>
      </c>
      <c r="J634" t="s">
        <v>777</v>
      </c>
      <c r="K634" t="s">
        <v>370</v>
      </c>
      <c r="L634">
        <v>1</v>
      </c>
      <c r="M634">
        <v>0.85</v>
      </c>
      <c r="N634">
        <v>0.85</v>
      </c>
      <c r="O634">
        <v>0</v>
      </c>
      <c r="P634">
        <v>0</v>
      </c>
      <c r="Q634">
        <v>0.308833108630118</v>
      </c>
      <c r="R634" t="s">
        <v>781</v>
      </c>
      <c r="S634" t="s">
        <v>793</v>
      </c>
      <c r="T634">
        <v>1067.095935</v>
      </c>
      <c r="U634" s="2">
        <v>44509</v>
      </c>
      <c r="V634" t="s">
        <v>794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11.24</v>
      </c>
      <c r="D635">
        <v>12.4</v>
      </c>
      <c r="E635">
        <v>0.9064516129032258</v>
      </c>
      <c r="F635">
        <v>0.0302491103202847</v>
      </c>
      <c r="G635">
        <v>0.01983772920868665</v>
      </c>
      <c r="H635">
        <v>0.042</v>
      </c>
      <c r="I635">
        <v>0.08944059815682426</v>
      </c>
      <c r="J635" t="s">
        <v>777</v>
      </c>
      <c r="K635" t="s">
        <v>777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0.132690911622264</v>
      </c>
      <c r="R635" t="s">
        <v>779</v>
      </c>
      <c r="S635" t="s">
        <v>791</v>
      </c>
      <c r="T635">
        <v>173.249862</v>
      </c>
      <c r="U635" s="2">
        <v>44431</v>
      </c>
      <c r="V635" t="s">
        <v>803</v>
      </c>
    </row>
    <row r="636" spans="1:22">
      <c r="A636" s="1" t="s">
        <v>656</v>
      </c>
      <c r="B636">
        <f>HYPERLINK("https://www.suredividend.com/sure-analysis-SRC/","Spirit Realty Capital Inc")</f>
        <v>0</v>
      </c>
      <c r="C636">
        <v>48.74</v>
      </c>
      <c r="D636">
        <v>50</v>
      </c>
      <c r="E636">
        <v>0.9748</v>
      </c>
      <c r="F636">
        <v>0.05231842429216249</v>
      </c>
      <c r="G636">
        <v>0.005117642069717876</v>
      </c>
      <c r="H636">
        <v>0.04</v>
      </c>
      <c r="I636">
        <v>0.08821875258629475</v>
      </c>
      <c r="J636" t="s">
        <v>777</v>
      </c>
      <c r="K636" t="s">
        <v>370</v>
      </c>
      <c r="L636">
        <v>3.3</v>
      </c>
      <c r="M636">
        <v>2.55</v>
      </c>
      <c r="N636">
        <v>0.7727272727272727</v>
      </c>
      <c r="O636">
        <v>1</v>
      </c>
      <c r="P636">
        <v>0.02033265364950054</v>
      </c>
      <c r="Q636">
        <v>0.4965393677596701</v>
      </c>
      <c r="R636" t="s">
        <v>781</v>
      </c>
      <c r="S636" t="s">
        <v>793</v>
      </c>
      <c r="T636">
        <v>6015.331846</v>
      </c>
      <c r="U636" s="2">
        <v>44509</v>
      </c>
      <c r="V636" t="s">
        <v>794</v>
      </c>
    </row>
    <row r="637" spans="1:22">
      <c r="A637" s="1" t="s">
        <v>657</v>
      </c>
      <c r="B637">
        <f>HYPERLINK("https://www.suredividend.com/sure-analysis-UMH/","UMH Properties Inc")</f>
        <v>0</v>
      </c>
      <c r="C637">
        <v>23.8</v>
      </c>
      <c r="D637">
        <v>25</v>
      </c>
      <c r="E637">
        <v>0.9520000000000001</v>
      </c>
      <c r="F637">
        <v>0.0319327731092437</v>
      </c>
      <c r="G637">
        <v>0.009886601531259531</v>
      </c>
      <c r="H637">
        <v>0.051</v>
      </c>
      <c r="I637">
        <v>0.08791170391172964</v>
      </c>
      <c r="J637" t="s">
        <v>777</v>
      </c>
      <c r="K637" t="s">
        <v>514</v>
      </c>
      <c r="L637">
        <v>0.86</v>
      </c>
      <c r="M637">
        <v>0.76</v>
      </c>
      <c r="N637">
        <v>0.8837209302325582</v>
      </c>
      <c r="O637">
        <v>1</v>
      </c>
      <c r="P637">
        <v>0.03439350143683439</v>
      </c>
      <c r="Q637">
        <v>0.7465803794675681</v>
      </c>
      <c r="R637" t="s">
        <v>781</v>
      </c>
      <c r="S637" t="s">
        <v>793</v>
      </c>
      <c r="T637">
        <v>1164.089459</v>
      </c>
      <c r="U637" s="2">
        <v>44452</v>
      </c>
      <c r="V637" t="s">
        <v>803</v>
      </c>
    </row>
    <row r="638" spans="1:22">
      <c r="A638" s="1" t="s">
        <v>658</v>
      </c>
      <c r="B638">
        <f>HYPERLINK("https://www.suredividend.com/sure-analysis-FCPT/","Four Corners Property Trust Inc")</f>
        <v>0</v>
      </c>
      <c r="C638">
        <v>28.91</v>
      </c>
      <c r="D638">
        <v>29</v>
      </c>
      <c r="E638">
        <v>0.9968965517241379</v>
      </c>
      <c r="F638">
        <v>0.04392943618125216</v>
      </c>
      <c r="G638">
        <v>0.0006218480590303166</v>
      </c>
      <c r="H638">
        <v>0.05</v>
      </c>
      <c r="I638">
        <v>0.08766945025083106</v>
      </c>
      <c r="J638" t="s">
        <v>777</v>
      </c>
      <c r="K638" t="s">
        <v>514</v>
      </c>
      <c r="L638">
        <v>1.53</v>
      </c>
      <c r="M638">
        <v>1.27</v>
      </c>
      <c r="N638">
        <v>0.8300653594771242</v>
      </c>
      <c r="O638">
        <v>4</v>
      </c>
      <c r="P638">
        <v>0.03246778448335941</v>
      </c>
      <c r="Q638">
        <v>0.125824758916624</v>
      </c>
      <c r="R638" t="s">
        <v>781</v>
      </c>
      <c r="S638" t="s">
        <v>793</v>
      </c>
      <c r="T638">
        <v>2264.885094</v>
      </c>
      <c r="U638" s="2">
        <v>44499</v>
      </c>
      <c r="V638" t="s">
        <v>796</v>
      </c>
    </row>
    <row r="639" spans="1:22">
      <c r="A639" s="1" t="s">
        <v>659</v>
      </c>
      <c r="B639">
        <f>HYPERLINK("https://www.suredividend.com/sure-analysis-AQN/","Algonquin Power &amp; Utilities Corp")</f>
        <v>0</v>
      </c>
      <c r="C639">
        <v>14.34</v>
      </c>
      <c r="D639">
        <v>13</v>
      </c>
      <c r="E639">
        <v>1.103076923076923</v>
      </c>
      <c r="F639">
        <v>0.04741980474198048</v>
      </c>
      <c r="G639">
        <v>-0.01942946244629662</v>
      </c>
      <c r="H639">
        <v>0.065</v>
      </c>
      <c r="I639">
        <v>0.08756529230939747</v>
      </c>
      <c r="J639" t="s">
        <v>777</v>
      </c>
      <c r="K639" t="s">
        <v>514</v>
      </c>
      <c r="L639">
        <v>0.74</v>
      </c>
      <c r="M639">
        <v>0.68</v>
      </c>
      <c r="N639">
        <v>0.918918918918919</v>
      </c>
      <c r="O639">
        <v>9</v>
      </c>
      <c r="P639">
        <v>0.05530068195228077</v>
      </c>
      <c r="Q639">
        <v>-0.077022653721682</v>
      </c>
      <c r="R639" t="s">
        <v>779</v>
      </c>
      <c r="S639" t="s">
        <v>791</v>
      </c>
      <c r="T639">
        <v>9557.419737</v>
      </c>
      <c r="U639" s="2">
        <v>44423</v>
      </c>
      <c r="V639" t="s">
        <v>804</v>
      </c>
    </row>
    <row r="640" spans="1:22">
      <c r="A640" s="1" t="s">
        <v>660</v>
      </c>
      <c r="B640">
        <f>HYPERLINK("https://www.suredividend.com/sure-analysis-EXR/","Extra Space Storage Inc.")</f>
        <v>0</v>
      </c>
      <c r="C640">
        <v>197.15</v>
      </c>
      <c r="D640">
        <v>150</v>
      </c>
      <c r="E640">
        <v>1.314333333333333</v>
      </c>
      <c r="F640">
        <v>0.0253613999492772</v>
      </c>
      <c r="G640">
        <v>-0.05319859106887104</v>
      </c>
      <c r="H640">
        <v>0.12</v>
      </c>
      <c r="I640">
        <v>0.08681080294648558</v>
      </c>
      <c r="J640" t="s">
        <v>777</v>
      </c>
      <c r="K640" t="s">
        <v>514</v>
      </c>
      <c r="L640">
        <v>6.8</v>
      </c>
      <c r="M640">
        <v>5</v>
      </c>
      <c r="N640">
        <v>0.7352941176470589</v>
      </c>
      <c r="O640">
        <v>12</v>
      </c>
      <c r="P640">
        <v>0.1101240567487265</v>
      </c>
      <c r="Q640">
        <v>0.9034828026090931</v>
      </c>
      <c r="R640" t="s">
        <v>781</v>
      </c>
      <c r="S640" t="s">
        <v>793</v>
      </c>
      <c r="T640">
        <v>26471.748569</v>
      </c>
      <c r="U640" s="2">
        <v>44500</v>
      </c>
      <c r="V640" t="s">
        <v>794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29.11</v>
      </c>
      <c r="D641">
        <v>27.05</v>
      </c>
      <c r="E641">
        <v>1.076155268022181</v>
      </c>
      <c r="F641">
        <v>0.03435245620061834</v>
      </c>
      <c r="G641">
        <v>-0.0145717399198465</v>
      </c>
      <c r="H641">
        <v>0.07000000000000001</v>
      </c>
      <c r="I641">
        <v>0.08490062663648068</v>
      </c>
      <c r="J641" t="s">
        <v>777</v>
      </c>
      <c r="K641" t="s">
        <v>514</v>
      </c>
      <c r="L641">
        <v>1.48</v>
      </c>
      <c r="M641">
        <v>1</v>
      </c>
      <c r="N641">
        <v>0.6756756756756757</v>
      </c>
      <c r="O641">
        <v>2</v>
      </c>
      <c r="P641">
        <v>0.05061112176150684</v>
      </c>
      <c r="Q641">
        <v>0.687987196168061</v>
      </c>
      <c r="R641" t="s">
        <v>781</v>
      </c>
      <c r="S641" t="s">
        <v>793</v>
      </c>
      <c r="T641">
        <v>3564.545634</v>
      </c>
      <c r="U641" s="2">
        <v>44508</v>
      </c>
      <c r="V641" t="s">
        <v>801</v>
      </c>
    </row>
    <row r="642" spans="1:22">
      <c r="A642" s="1" t="s">
        <v>662</v>
      </c>
      <c r="B642">
        <f>HYPERLINK("https://www.suredividend.com/sure-analysis-GNL/","Global Net Lease Inc")</f>
        <v>0</v>
      </c>
      <c r="C642">
        <v>15.65</v>
      </c>
      <c r="D642">
        <v>13</v>
      </c>
      <c r="E642">
        <v>1.203846153846154</v>
      </c>
      <c r="F642">
        <v>0.1022364217252396</v>
      </c>
      <c r="G642">
        <v>-0.03642438230167067</v>
      </c>
      <c r="H642">
        <v>0.029</v>
      </c>
      <c r="I642">
        <v>0.08416828031897028</v>
      </c>
      <c r="J642" t="s">
        <v>777</v>
      </c>
      <c r="K642" t="s">
        <v>370</v>
      </c>
      <c r="L642">
        <v>1.86</v>
      </c>
      <c r="M642">
        <v>1.6</v>
      </c>
      <c r="N642">
        <v>0.8602150537634409</v>
      </c>
      <c r="O642">
        <v>0</v>
      </c>
      <c r="P642">
        <v>0.01808400232019891</v>
      </c>
      <c r="Q642">
        <v>0.103832065370526</v>
      </c>
      <c r="R642" t="s">
        <v>781</v>
      </c>
      <c r="S642" t="s">
        <v>793</v>
      </c>
      <c r="T642">
        <v>1623.479036</v>
      </c>
      <c r="U642" s="2">
        <v>44421</v>
      </c>
      <c r="V642" t="s">
        <v>803</v>
      </c>
    </row>
    <row r="643" spans="1:22">
      <c r="A643" s="1" t="s">
        <v>663</v>
      </c>
      <c r="B643">
        <f>HYPERLINK("https://www.suredividend.com/sure-analysis-VOD/","Vodafone Group plc")</f>
        <v>0</v>
      </c>
      <c r="C643">
        <v>15.26</v>
      </c>
      <c r="D643">
        <v>15</v>
      </c>
      <c r="E643">
        <v>1.017333333333333</v>
      </c>
      <c r="F643">
        <v>0.0707732634338139</v>
      </c>
      <c r="G643">
        <v>-0.003431065347628826</v>
      </c>
      <c r="H643">
        <v>0.03</v>
      </c>
      <c r="I643">
        <v>0.08351410798917791</v>
      </c>
      <c r="J643" t="s">
        <v>777</v>
      </c>
      <c r="K643" t="s">
        <v>370</v>
      </c>
      <c r="L643">
        <v>1.1</v>
      </c>
      <c r="M643">
        <v>1.08</v>
      </c>
      <c r="N643">
        <v>0.9818181818181818</v>
      </c>
      <c r="O643">
        <v>0</v>
      </c>
      <c r="P643">
        <v>0</v>
      </c>
      <c r="Q643">
        <v>0.09688561559761301</v>
      </c>
      <c r="R643" t="s">
        <v>779</v>
      </c>
      <c r="S643" t="s">
        <v>783</v>
      </c>
      <c r="T643">
        <v>42155.516639</v>
      </c>
      <c r="U643" s="2">
        <v>44429</v>
      </c>
      <c r="V643" t="s">
        <v>798</v>
      </c>
    </row>
    <row r="644" spans="1:22">
      <c r="A644" s="1" t="s">
        <v>664</v>
      </c>
      <c r="B644">
        <f>HYPERLINK("https://www.suredividend.com/sure-analysis-SFL/","SFL Corporation Ltd")</f>
        <v>0</v>
      </c>
      <c r="C644">
        <v>8.109999999999999</v>
      </c>
      <c r="D644">
        <v>7.57</v>
      </c>
      <c r="E644">
        <v>1.071334214002642</v>
      </c>
      <c r="F644">
        <v>0.07398273736128237</v>
      </c>
      <c r="G644">
        <v>-0.01368643740730136</v>
      </c>
      <c r="H644">
        <v>0.03</v>
      </c>
      <c r="I644">
        <v>0.08276443391812704</v>
      </c>
      <c r="J644" t="s">
        <v>777</v>
      </c>
      <c r="K644" t="s">
        <v>370</v>
      </c>
      <c r="L644">
        <v>0.89</v>
      </c>
      <c r="M644">
        <v>0.6</v>
      </c>
      <c r="N644">
        <v>0.6741573033707865</v>
      </c>
      <c r="O644">
        <v>0</v>
      </c>
      <c r="P644">
        <v>0.03131030647754507</v>
      </c>
      <c r="Q644">
        <v>0.188938468764678</v>
      </c>
      <c r="R644" t="s">
        <v>779</v>
      </c>
      <c r="S644" t="s">
        <v>786</v>
      </c>
      <c r="T644">
        <v>1037.813108</v>
      </c>
      <c r="U644" s="2">
        <v>44428</v>
      </c>
      <c r="V644" t="s">
        <v>794</v>
      </c>
    </row>
    <row r="645" spans="1:22">
      <c r="A645" s="1" t="s">
        <v>665</v>
      </c>
      <c r="B645">
        <f>HYPERLINK("https://www.suredividend.com/sure-analysis-GSBD/","Goldman Sachs BDC Inc")</f>
        <v>0</v>
      </c>
      <c r="C645">
        <v>18.99</v>
      </c>
      <c r="D645">
        <v>19.2</v>
      </c>
      <c r="E645">
        <v>0.9890625</v>
      </c>
      <c r="F645">
        <v>0.09478672985781991</v>
      </c>
      <c r="G645">
        <v>0.002201971628416954</v>
      </c>
      <c r="H645">
        <v>0</v>
      </c>
      <c r="I645">
        <v>0.08229294808628751</v>
      </c>
      <c r="J645" t="s">
        <v>777</v>
      </c>
      <c r="K645" t="s">
        <v>370</v>
      </c>
      <c r="L645">
        <v>2</v>
      </c>
      <c r="M645">
        <v>1.8</v>
      </c>
      <c r="N645">
        <v>0.9</v>
      </c>
      <c r="O645">
        <v>0</v>
      </c>
      <c r="P645">
        <v>0</v>
      </c>
      <c r="Q645">
        <v>0.278975206833746</v>
      </c>
      <c r="R645" t="s">
        <v>782</v>
      </c>
      <c r="S645" t="s">
        <v>790</v>
      </c>
      <c r="T645">
        <v>1937.611973</v>
      </c>
      <c r="U645" s="2">
        <v>44416</v>
      </c>
      <c r="V645" t="s">
        <v>794</v>
      </c>
    </row>
    <row r="646" spans="1:22">
      <c r="A646" s="1" t="s">
        <v>666</v>
      </c>
      <c r="B646">
        <f>HYPERLINK("https://www.suredividend.com/sure-analysis-HR/","Healthcare Realty Trust, Inc.")</f>
        <v>0</v>
      </c>
      <c r="C646">
        <v>32.34</v>
      </c>
      <c r="D646">
        <v>31</v>
      </c>
      <c r="E646">
        <v>1.043225806451613</v>
      </c>
      <c r="F646">
        <v>0.03741496598639455</v>
      </c>
      <c r="G646">
        <v>-0.008427815092199364</v>
      </c>
      <c r="H646">
        <v>0.06</v>
      </c>
      <c r="I646">
        <v>0.08075403655753988</v>
      </c>
      <c r="J646" t="s">
        <v>777</v>
      </c>
      <c r="K646" t="s">
        <v>514</v>
      </c>
      <c r="L646">
        <v>1.7</v>
      </c>
      <c r="M646">
        <v>1.21</v>
      </c>
      <c r="N646">
        <v>0.711764705882353</v>
      </c>
      <c r="O646">
        <v>1</v>
      </c>
      <c r="P646">
        <v>0.008131151974167583</v>
      </c>
      <c r="Q646">
        <v>0.080260992677742</v>
      </c>
      <c r="R646" t="s">
        <v>781</v>
      </c>
      <c r="S646" t="s">
        <v>793</v>
      </c>
      <c r="T646">
        <v>4716.912369</v>
      </c>
      <c r="U646" s="2">
        <v>44425</v>
      </c>
      <c r="V646" t="s">
        <v>801</v>
      </c>
    </row>
    <row r="647" spans="1:22">
      <c r="A647" s="1" t="s">
        <v>667</v>
      </c>
      <c r="B647">
        <f>HYPERLINK("https://www.suredividend.com/sure-analysis-AAT/","American Assets Trust Inc")</f>
        <v>0</v>
      </c>
      <c r="C647">
        <v>39.32</v>
      </c>
      <c r="D647">
        <v>38</v>
      </c>
      <c r="E647">
        <v>1.034736842105263</v>
      </c>
      <c r="F647">
        <v>0.03051881993896236</v>
      </c>
      <c r="G647">
        <v>-0.006806159571306147</v>
      </c>
      <c r="H647">
        <v>0.06</v>
      </c>
      <c r="I647">
        <v>0.08013663699199225</v>
      </c>
      <c r="J647" t="s">
        <v>777</v>
      </c>
      <c r="K647" t="s">
        <v>514</v>
      </c>
      <c r="L647">
        <v>1.92</v>
      </c>
      <c r="M647">
        <v>1.2</v>
      </c>
      <c r="N647">
        <v>0.625</v>
      </c>
      <c r="O647">
        <v>1</v>
      </c>
      <c r="P647">
        <v>0.04978904632428516</v>
      </c>
      <c r="Q647">
        <v>0.626019597620699</v>
      </c>
      <c r="R647" t="s">
        <v>781</v>
      </c>
      <c r="S647" t="s">
        <v>793</v>
      </c>
      <c r="T647">
        <v>2395.298495</v>
      </c>
      <c r="U647" s="2">
        <v>44502</v>
      </c>
      <c r="V647" t="s">
        <v>802</v>
      </c>
    </row>
    <row r="648" spans="1:22">
      <c r="A648" s="1" t="s">
        <v>668</v>
      </c>
      <c r="B648">
        <f>HYPERLINK("https://www.suredividend.com/sure-analysis-NYMT/","New York Mortgage Trust Inc")</f>
        <v>0</v>
      </c>
      <c r="C648">
        <v>4.27</v>
      </c>
      <c r="D648">
        <v>4.05</v>
      </c>
      <c r="E648">
        <v>1.054320987654321</v>
      </c>
      <c r="F648">
        <v>0.09367681498829042</v>
      </c>
      <c r="G648">
        <v>-0.01052362431238929</v>
      </c>
      <c r="H648">
        <v>0.01</v>
      </c>
      <c r="I648">
        <v>0.07939890707628527</v>
      </c>
      <c r="J648" t="s">
        <v>777</v>
      </c>
      <c r="K648" t="s">
        <v>370</v>
      </c>
      <c r="L648">
        <v>0.45</v>
      </c>
      <c r="M648">
        <v>0.4</v>
      </c>
      <c r="N648">
        <v>0.888888888888889</v>
      </c>
      <c r="O648">
        <v>0</v>
      </c>
      <c r="P648">
        <v>0</v>
      </c>
      <c r="Q648">
        <v>0.666603104381983</v>
      </c>
      <c r="R648" t="s">
        <v>779</v>
      </c>
      <c r="S648" t="s">
        <v>793</v>
      </c>
      <c r="T648">
        <v>1657.481896</v>
      </c>
      <c r="U648" s="2">
        <v>44435</v>
      </c>
      <c r="V648" t="s">
        <v>798</v>
      </c>
    </row>
    <row r="649" spans="1:22">
      <c r="A649" s="1" t="s">
        <v>669</v>
      </c>
      <c r="B649">
        <f>HYPERLINK("https://www.suredividend.com/sure-analysis-KREF/","KKR Real Estate Finance Trust Inc")</f>
        <v>0</v>
      </c>
      <c r="C649">
        <v>21.9</v>
      </c>
      <c r="D649">
        <v>21.53</v>
      </c>
      <c r="E649">
        <v>1.017185322805388</v>
      </c>
      <c r="F649">
        <v>0.07853881278538813</v>
      </c>
      <c r="G649">
        <v>-0.003402064907619629</v>
      </c>
      <c r="H649">
        <v>0.015</v>
      </c>
      <c r="I649">
        <v>0.07921889158445161</v>
      </c>
      <c r="J649" t="s">
        <v>777</v>
      </c>
      <c r="K649" t="s">
        <v>370</v>
      </c>
      <c r="L649">
        <v>2.05</v>
      </c>
      <c r="M649">
        <v>1.72</v>
      </c>
      <c r="N649">
        <v>0.8390243902439025</v>
      </c>
      <c r="O649">
        <v>0</v>
      </c>
      <c r="P649">
        <v>0.01025271344829148</v>
      </c>
      <c r="Q649">
        <v>0.3512507906584471</v>
      </c>
      <c r="R649" t="s">
        <v>781</v>
      </c>
      <c r="S649" t="s">
        <v>793</v>
      </c>
      <c r="T649">
        <v>1216.391232</v>
      </c>
      <c r="U649" s="2">
        <v>44495</v>
      </c>
      <c r="V649" t="s">
        <v>794</v>
      </c>
    </row>
    <row r="650" spans="1:22">
      <c r="A650" s="1" t="s">
        <v>670</v>
      </c>
      <c r="B650">
        <f>HYPERLINK("https://www.suredividend.com/sure-analysis-KNOP/","KNOT Offshore Partners LP")</f>
        <v>0</v>
      </c>
      <c r="C650">
        <v>18.41</v>
      </c>
      <c r="D650">
        <v>16.5</v>
      </c>
      <c r="E650">
        <v>1.115757575757576</v>
      </c>
      <c r="F650">
        <v>0.1129820749592613</v>
      </c>
      <c r="G650">
        <v>-0.02166851324917218</v>
      </c>
      <c r="H650">
        <v>0</v>
      </c>
      <c r="I650">
        <v>0.07879692109746017</v>
      </c>
      <c r="J650" t="s">
        <v>777</v>
      </c>
      <c r="K650" t="s">
        <v>776</v>
      </c>
      <c r="L650">
        <v>2.75</v>
      </c>
      <c r="M650">
        <v>2.08</v>
      </c>
      <c r="N650">
        <v>0.7563636363636363</v>
      </c>
      <c r="O650">
        <v>0</v>
      </c>
      <c r="P650">
        <v>0</v>
      </c>
      <c r="Q650">
        <v>0.6039664245639981</v>
      </c>
      <c r="R650" t="s">
        <v>780</v>
      </c>
      <c r="S650" t="s">
        <v>786</v>
      </c>
      <c r="T650">
        <v>606.849078</v>
      </c>
      <c r="U650" s="2">
        <v>44435</v>
      </c>
      <c r="V650" t="s">
        <v>794</v>
      </c>
    </row>
    <row r="651" spans="1:22">
      <c r="A651" s="1" t="s">
        <v>671</v>
      </c>
      <c r="B651">
        <f>HYPERLINK("https://www.suredividend.com/sure-analysis-NRZ/","New Residential Investment Corp")</f>
        <v>0</v>
      </c>
      <c r="C651">
        <v>11.36</v>
      </c>
      <c r="D651">
        <v>10</v>
      </c>
      <c r="E651">
        <v>1.136</v>
      </c>
      <c r="F651">
        <v>0.08802816901408451</v>
      </c>
      <c r="G651">
        <v>-0.02518021801590375</v>
      </c>
      <c r="H651">
        <v>0.02</v>
      </c>
      <c r="I651">
        <v>0.07765724900811866</v>
      </c>
      <c r="J651" t="s">
        <v>777</v>
      </c>
      <c r="K651" t="s">
        <v>370</v>
      </c>
      <c r="L651">
        <v>1.3</v>
      </c>
      <c r="M651">
        <v>1</v>
      </c>
      <c r="N651">
        <v>0.7692307692307692</v>
      </c>
      <c r="O651">
        <v>1</v>
      </c>
      <c r="P651">
        <v>0.03012896281839894</v>
      </c>
      <c r="Q651">
        <v>0.5059724147033591</v>
      </c>
      <c r="R651" t="s">
        <v>781</v>
      </c>
      <c r="S651" t="s">
        <v>793</v>
      </c>
      <c r="T651">
        <v>5323.676887</v>
      </c>
      <c r="U651" s="2">
        <v>44503</v>
      </c>
      <c r="V651" t="s">
        <v>797</v>
      </c>
    </row>
    <row r="652" spans="1:22">
      <c r="A652" s="1" t="s">
        <v>672</v>
      </c>
      <c r="B652">
        <f>HYPERLINK("https://www.suredividend.com/sure-analysis-EIFZF/","Exchange Income Corp.")</f>
        <v>0</v>
      </c>
      <c r="C652">
        <v>35.2836</v>
      </c>
      <c r="D652">
        <v>29</v>
      </c>
      <c r="E652">
        <v>1.216675862068965</v>
      </c>
      <c r="F652">
        <v>0.05186545590585995</v>
      </c>
      <c r="G652">
        <v>-0.03846516749242601</v>
      </c>
      <c r="H652">
        <v>0.07000000000000001</v>
      </c>
      <c r="I652">
        <v>0.07643174931629737</v>
      </c>
      <c r="J652" t="s">
        <v>777</v>
      </c>
      <c r="K652" t="s">
        <v>514</v>
      </c>
      <c r="L652">
        <v>1.9</v>
      </c>
      <c r="M652">
        <v>1.83</v>
      </c>
      <c r="N652">
        <v>0.9631578947368422</v>
      </c>
      <c r="O652">
        <v>0</v>
      </c>
      <c r="P652">
        <v>0.04032911905890546</v>
      </c>
      <c r="Q652">
        <v>0.292065665979441</v>
      </c>
      <c r="R652" t="s">
        <v>779</v>
      </c>
      <c r="S652" t="s">
        <v>786</v>
      </c>
      <c r="T652">
        <v>1345.80937</v>
      </c>
      <c r="U652" s="2">
        <v>44422</v>
      </c>
      <c r="V652" t="s">
        <v>794</v>
      </c>
    </row>
    <row r="653" spans="1:22">
      <c r="A653" s="1" t="s">
        <v>673</v>
      </c>
      <c r="B653">
        <f>HYPERLINK("https://www.suredividend.com/sure-analysis-NLY/","Annaly Capital Management Inc")</f>
        <v>0</v>
      </c>
      <c r="C653">
        <v>8.58</v>
      </c>
      <c r="D653">
        <v>7.8</v>
      </c>
      <c r="E653">
        <v>1.1</v>
      </c>
      <c r="F653">
        <v>0.1025641025641026</v>
      </c>
      <c r="G653">
        <v>-0.01888150427373569</v>
      </c>
      <c r="H653">
        <v>-0.004</v>
      </c>
      <c r="I653">
        <v>0.07641721876096108</v>
      </c>
      <c r="J653" t="s">
        <v>777</v>
      </c>
      <c r="K653" t="s">
        <v>370</v>
      </c>
      <c r="L653">
        <v>1.12</v>
      </c>
      <c r="M653">
        <v>0.88</v>
      </c>
      <c r="N653">
        <v>0.7857142857142857</v>
      </c>
      <c r="O653">
        <v>0</v>
      </c>
      <c r="P653">
        <v>0.02589630491023409</v>
      </c>
      <c r="Q653">
        <v>0.3156087361304</v>
      </c>
      <c r="R653" t="s">
        <v>781</v>
      </c>
      <c r="S653" t="s">
        <v>793</v>
      </c>
      <c r="T653">
        <v>12500.040331</v>
      </c>
      <c r="U653" s="2">
        <v>44503</v>
      </c>
      <c r="V653" t="s">
        <v>803</v>
      </c>
    </row>
    <row r="654" spans="1:22">
      <c r="A654" s="1" t="s">
        <v>674</v>
      </c>
      <c r="B654">
        <f>HYPERLINK("https://www.suredividend.com/sure-analysis-SSREY/","Swiss Re Ltd")</f>
        <v>0</v>
      </c>
      <c r="C654">
        <v>24.55</v>
      </c>
      <c r="D654">
        <v>21</v>
      </c>
      <c r="E654">
        <v>1.169047619047619</v>
      </c>
      <c r="F654">
        <v>0.06558044806517312</v>
      </c>
      <c r="G654">
        <v>-0.03075502154749088</v>
      </c>
      <c r="H654">
        <v>0.05</v>
      </c>
      <c r="I654">
        <v>0.07567254930129508</v>
      </c>
      <c r="J654" t="s">
        <v>777</v>
      </c>
      <c r="K654" t="s">
        <v>370</v>
      </c>
      <c r="L654">
        <v>1.75</v>
      </c>
      <c r="M654">
        <v>1.61</v>
      </c>
      <c r="N654">
        <v>0.92</v>
      </c>
      <c r="O654">
        <v>5</v>
      </c>
      <c r="P654">
        <v>0.02027871203234244</v>
      </c>
      <c r="Q654">
        <v>0.165805542508219</v>
      </c>
      <c r="R654" t="s">
        <v>779</v>
      </c>
      <c r="S654" t="s">
        <v>790</v>
      </c>
      <c r="T654">
        <v>31521.13254</v>
      </c>
      <c r="U654" s="2">
        <v>44503</v>
      </c>
      <c r="V654" t="s">
        <v>794</v>
      </c>
    </row>
    <row r="655" spans="1:22">
      <c r="A655" s="1" t="s">
        <v>675</v>
      </c>
      <c r="B655">
        <f>HYPERLINK("https://www.suredividend.com/sure-analysis-NTST/","Netstreit Corp")</f>
        <v>0</v>
      </c>
      <c r="C655">
        <v>23.8</v>
      </c>
      <c r="D655">
        <v>21</v>
      </c>
      <c r="E655">
        <v>1.133333333333333</v>
      </c>
      <c r="F655">
        <v>0.03361344537815126</v>
      </c>
      <c r="G655">
        <v>-0.02472191044052729</v>
      </c>
      <c r="H655">
        <v>0.07000000000000001</v>
      </c>
      <c r="I655">
        <v>0.07452293035513469</v>
      </c>
      <c r="J655" t="s">
        <v>777</v>
      </c>
      <c r="K655" t="s">
        <v>514</v>
      </c>
      <c r="L655">
        <v>0.9399999999999999</v>
      </c>
      <c r="M655">
        <v>0.8</v>
      </c>
      <c r="N655">
        <v>0.8510638297872342</v>
      </c>
      <c r="O655">
        <v>1</v>
      </c>
      <c r="P655">
        <v>0.04978904632428516</v>
      </c>
      <c r="Q655">
        <v>0.354727351184392</v>
      </c>
      <c r="R655" t="s">
        <v>781</v>
      </c>
      <c r="S655" t="s">
        <v>793</v>
      </c>
      <c r="T655">
        <v>945.450687</v>
      </c>
      <c r="U655" s="2">
        <v>44502</v>
      </c>
      <c r="V655" t="s">
        <v>801</v>
      </c>
    </row>
    <row r="656" spans="1:22">
      <c r="A656" s="1" t="s">
        <v>676</v>
      </c>
      <c r="B656">
        <f>HYPERLINK("https://www.suredividend.com/sure-analysis-EPR/","EPR Properties")</f>
        <v>0</v>
      </c>
      <c r="C656">
        <v>51.81</v>
      </c>
      <c r="D656">
        <v>39</v>
      </c>
      <c r="E656">
        <v>1.328461538461539</v>
      </c>
      <c r="F656">
        <v>0.05790387955993051</v>
      </c>
      <c r="G656">
        <v>-0.05522106204086685</v>
      </c>
      <c r="H656">
        <v>0.08</v>
      </c>
      <c r="I656">
        <v>0.07307189387067292</v>
      </c>
      <c r="J656" t="s">
        <v>777</v>
      </c>
      <c r="K656" t="s">
        <v>514</v>
      </c>
      <c r="L656">
        <v>2.8</v>
      </c>
      <c r="M656">
        <v>3</v>
      </c>
      <c r="N656">
        <v>1.071428571428571</v>
      </c>
      <c r="O656">
        <v>0</v>
      </c>
      <c r="P656">
        <v>0.03012896281839894</v>
      </c>
      <c r="Q656">
        <v>0.606714110913512</v>
      </c>
      <c r="R656" t="s">
        <v>781</v>
      </c>
      <c r="S656" t="s">
        <v>793</v>
      </c>
      <c r="T656">
        <v>3899.607222</v>
      </c>
      <c r="U656" s="2">
        <v>44428</v>
      </c>
      <c r="V656" t="s">
        <v>798</v>
      </c>
    </row>
    <row r="657" spans="1:22">
      <c r="A657" s="1" t="s">
        <v>677</v>
      </c>
      <c r="B657">
        <f>HYPERLINK("https://www.suredividend.com/sure-analysis-CHCT/","Community Healthcare Trust Inc")</f>
        <v>0</v>
      </c>
      <c r="C657">
        <v>47</v>
      </c>
      <c r="D657">
        <v>43</v>
      </c>
      <c r="E657">
        <v>1.093023255813953</v>
      </c>
      <c r="F657">
        <v>0.03702127659574468</v>
      </c>
      <c r="G657">
        <v>-0.01763219823557172</v>
      </c>
      <c r="H657">
        <v>0.06</v>
      </c>
      <c r="I657">
        <v>0.0727667550723865</v>
      </c>
      <c r="J657" t="s">
        <v>777</v>
      </c>
      <c r="K657" t="s">
        <v>514</v>
      </c>
      <c r="L657">
        <v>2.21</v>
      </c>
      <c r="M657">
        <v>1.74</v>
      </c>
      <c r="N657">
        <v>0.7873303167420814</v>
      </c>
      <c r="O657">
        <v>6</v>
      </c>
      <c r="P657">
        <v>0.01988310171094443</v>
      </c>
      <c r="Q657">
        <v>0.077300089111971</v>
      </c>
      <c r="R657" t="s">
        <v>781</v>
      </c>
      <c r="S657" t="s">
        <v>793</v>
      </c>
      <c r="T657">
        <v>1183.920959</v>
      </c>
      <c r="U657" s="2">
        <v>44508</v>
      </c>
      <c r="V657" t="s">
        <v>801</v>
      </c>
    </row>
    <row r="658" spans="1:22">
      <c r="A658" s="1" t="s">
        <v>678</v>
      </c>
      <c r="B658">
        <f>HYPERLINK("https://www.suredividend.com/sure-analysis-ACRE/","Ares Commercial Real Estate Corp")</f>
        <v>0</v>
      </c>
      <c r="C658">
        <v>15.88</v>
      </c>
      <c r="D658">
        <v>15.87</v>
      </c>
      <c r="E658">
        <v>1.000630119722747</v>
      </c>
      <c r="F658">
        <v>0.08312342569269521</v>
      </c>
      <c r="G658">
        <v>-0.0001259763204513042</v>
      </c>
      <c r="H658">
        <v>0</v>
      </c>
      <c r="I658">
        <v>0.07189072956320786</v>
      </c>
      <c r="J658" t="s">
        <v>777</v>
      </c>
      <c r="K658" t="s">
        <v>370</v>
      </c>
      <c r="L658">
        <v>1.38</v>
      </c>
      <c r="M658">
        <v>1.32</v>
      </c>
      <c r="N658">
        <v>0.9565217391304349</v>
      </c>
      <c r="O658">
        <v>0</v>
      </c>
      <c r="P658">
        <v>0</v>
      </c>
      <c r="Q658">
        <v>0.6258748414030201</v>
      </c>
      <c r="R658" t="s">
        <v>781</v>
      </c>
      <c r="S658" t="s">
        <v>793</v>
      </c>
      <c r="T658">
        <v>746.858936</v>
      </c>
      <c r="U658" s="2">
        <v>44506</v>
      </c>
      <c r="V658" t="s">
        <v>794</v>
      </c>
    </row>
    <row r="659" spans="1:22">
      <c r="A659" s="1" t="s">
        <v>679</v>
      </c>
      <c r="B659">
        <f>HYPERLINK("https://www.suredividend.com/sure-analysis-NMFC/","New Mountain Finance Corp")</f>
        <v>0</v>
      </c>
      <c r="C659">
        <v>13.83</v>
      </c>
      <c r="D659">
        <v>14</v>
      </c>
      <c r="E659">
        <v>0.9878571428571429</v>
      </c>
      <c r="F659">
        <v>0.08676789587852494</v>
      </c>
      <c r="G659">
        <v>0.002446424412247739</v>
      </c>
      <c r="H659">
        <v>-0.005</v>
      </c>
      <c r="I659">
        <v>0.07182392868765564</v>
      </c>
      <c r="J659" t="s">
        <v>777</v>
      </c>
      <c r="K659" t="s">
        <v>370</v>
      </c>
      <c r="L659">
        <v>1.25</v>
      </c>
      <c r="M659">
        <v>1.2</v>
      </c>
      <c r="N659">
        <v>0.96</v>
      </c>
      <c r="O659">
        <v>0</v>
      </c>
      <c r="P659">
        <v>-0.005050763379468082</v>
      </c>
      <c r="Q659">
        <v>0.461926576452954</v>
      </c>
      <c r="R659" t="s">
        <v>782</v>
      </c>
      <c r="S659" t="s">
        <v>790</v>
      </c>
      <c r="T659">
        <v>1342.161784</v>
      </c>
      <c r="U659" s="2">
        <v>44509</v>
      </c>
      <c r="V659" t="s">
        <v>794</v>
      </c>
    </row>
    <row r="660" spans="1:22">
      <c r="A660" s="1" t="s">
        <v>680</v>
      </c>
      <c r="B660">
        <f>HYPERLINK("https://www.suredividend.com/sure-analysis-SACH/","Sachem Capital Corp")</f>
        <v>0</v>
      </c>
      <c r="C660">
        <v>5.73</v>
      </c>
      <c r="D660">
        <v>5.15</v>
      </c>
      <c r="E660">
        <v>1.112621359223301</v>
      </c>
      <c r="F660">
        <v>0.08376963350785339</v>
      </c>
      <c r="G660">
        <v>-0.02111759703322735</v>
      </c>
      <c r="H660">
        <v>0.02</v>
      </c>
      <c r="I660">
        <v>0.07131206604813345</v>
      </c>
      <c r="J660" t="s">
        <v>777</v>
      </c>
      <c r="K660" t="s">
        <v>370</v>
      </c>
      <c r="L660">
        <v>0.46</v>
      </c>
      <c r="M660">
        <v>0.48</v>
      </c>
      <c r="N660">
        <v>1.043478260869565</v>
      </c>
      <c r="O660">
        <v>0</v>
      </c>
      <c r="P660">
        <v>0</v>
      </c>
      <c r="Q660">
        <v>0.538461538461538</v>
      </c>
      <c r="R660" t="s">
        <v>781</v>
      </c>
      <c r="S660" t="s">
        <v>793</v>
      </c>
      <c r="T660">
        <v>168.415207</v>
      </c>
      <c r="U660" s="2">
        <v>44427</v>
      </c>
      <c r="V660" t="s">
        <v>794</v>
      </c>
    </row>
    <row r="661" spans="1:22">
      <c r="A661" s="1" t="s">
        <v>681</v>
      </c>
      <c r="B661">
        <f>HYPERLINK("https://www.suredividend.com/sure-analysis-VST/","Vistra Corp")</f>
        <v>0</v>
      </c>
      <c r="C661">
        <v>19.44</v>
      </c>
      <c r="D661">
        <v>16</v>
      </c>
      <c r="E661">
        <v>1.215</v>
      </c>
      <c r="F661">
        <v>0.0308641975308642</v>
      </c>
      <c r="G661">
        <v>-0.03820006272852428</v>
      </c>
      <c r="H661">
        <v>0.08</v>
      </c>
      <c r="I661">
        <v>0.07032048400025115</v>
      </c>
      <c r="J661" t="s">
        <v>777</v>
      </c>
      <c r="K661" t="s">
        <v>777</v>
      </c>
      <c r="L661">
        <v>-1.34</v>
      </c>
      <c r="M661">
        <v>0.6</v>
      </c>
      <c r="N661">
        <v>9.99</v>
      </c>
      <c r="O661">
        <v>1</v>
      </c>
      <c r="P661">
        <v>0.0796084730466029</v>
      </c>
      <c r="Q661">
        <v>0.05613228411815101</v>
      </c>
      <c r="R661" t="s">
        <v>779</v>
      </c>
      <c r="S661" t="s">
        <v>791</v>
      </c>
      <c r="T661">
        <v>9334.016237</v>
      </c>
      <c r="U661" s="2">
        <v>44414</v>
      </c>
      <c r="V661" t="s">
        <v>801</v>
      </c>
    </row>
    <row r="662" spans="1:22">
      <c r="A662" s="1" t="s">
        <v>682</v>
      </c>
      <c r="B662">
        <f>HYPERLINK("https://www.suredividend.com/sure-analysis-E/","Eni Spa")</f>
        <v>0</v>
      </c>
      <c r="C662">
        <v>28.97</v>
      </c>
      <c r="D662">
        <v>29</v>
      </c>
      <c r="E662">
        <v>0.9989655172413793</v>
      </c>
      <c r="F662">
        <v>0.05453917846047636</v>
      </c>
      <c r="G662">
        <v>0.0002070250677752572</v>
      </c>
      <c r="H662">
        <v>0.02</v>
      </c>
      <c r="I662">
        <v>0.0701144547368846</v>
      </c>
      <c r="J662" t="s">
        <v>777</v>
      </c>
      <c r="K662" t="s">
        <v>370</v>
      </c>
      <c r="L662">
        <v>2.3</v>
      </c>
      <c r="M662">
        <v>1.58</v>
      </c>
      <c r="N662">
        <v>0.6869565217391305</v>
      </c>
      <c r="O662">
        <v>1</v>
      </c>
      <c r="P662">
        <v>0.02981402116536103</v>
      </c>
      <c r="Q662">
        <v>0.7987282954267541</v>
      </c>
      <c r="R662" t="s">
        <v>779</v>
      </c>
      <c r="S662" t="s">
        <v>792</v>
      </c>
      <c r="T662">
        <v>53038.300214</v>
      </c>
      <c r="U662" s="2">
        <v>44502</v>
      </c>
      <c r="V662" t="s">
        <v>802</v>
      </c>
    </row>
    <row r="663" spans="1:22">
      <c r="A663" s="1" t="s">
        <v>683</v>
      </c>
      <c r="B663">
        <f>HYPERLINK("https://www.suredividend.com/sure-analysis-LWSCF/","Sienna Senior Living, Inc.")</f>
        <v>0</v>
      </c>
      <c r="C663">
        <v>11.69</v>
      </c>
      <c r="D663">
        <v>12.5</v>
      </c>
      <c r="E663">
        <v>0.9351999999999999</v>
      </c>
      <c r="F663">
        <v>0.0641573994867408</v>
      </c>
      <c r="G663">
        <v>0.01348914228564002</v>
      </c>
      <c r="H663">
        <v>0</v>
      </c>
      <c r="I663">
        <v>0.06808980775227447</v>
      </c>
      <c r="J663" t="s">
        <v>777</v>
      </c>
      <c r="K663" t="s">
        <v>370</v>
      </c>
      <c r="L663">
        <v>1</v>
      </c>
      <c r="M663">
        <v>0.75</v>
      </c>
      <c r="N663">
        <v>0.75</v>
      </c>
      <c r="O663">
        <v>0</v>
      </c>
      <c r="P663">
        <v>0</v>
      </c>
      <c r="Q663">
        <v>0.161163134549038</v>
      </c>
      <c r="R663" t="s">
        <v>779</v>
      </c>
      <c r="S663" t="s">
        <v>784</v>
      </c>
      <c r="T663">
        <v>789.720869</v>
      </c>
      <c r="U663" s="2">
        <v>44422</v>
      </c>
      <c r="V663" t="s">
        <v>794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15.46</v>
      </c>
      <c r="D664">
        <v>15.6</v>
      </c>
      <c r="E664">
        <v>0.9910256410256411</v>
      </c>
      <c r="F664">
        <v>0.07503234152652004</v>
      </c>
      <c r="G664">
        <v>0.001804600554527358</v>
      </c>
      <c r="H664">
        <v>0</v>
      </c>
      <c r="I664">
        <v>0.06718781221282799</v>
      </c>
      <c r="J664" t="s">
        <v>777</v>
      </c>
      <c r="K664" t="s">
        <v>370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0.199959586853292</v>
      </c>
      <c r="R664" t="s">
        <v>782</v>
      </c>
      <c r="S664" t="s">
        <v>790</v>
      </c>
      <c r="T664">
        <v>2611.704672</v>
      </c>
      <c r="U664" s="2">
        <v>44418</v>
      </c>
      <c r="V664" t="s">
        <v>794</v>
      </c>
    </row>
    <row r="665" spans="1:22">
      <c r="A665" s="1" t="s">
        <v>685</v>
      </c>
      <c r="B665">
        <f>HYPERLINK("https://www.suredividend.com/sure-analysis-DTEGY/","Deutsche Telekom AG")</f>
        <v>0</v>
      </c>
      <c r="C665">
        <v>19.15</v>
      </c>
      <c r="D665">
        <v>17</v>
      </c>
      <c r="E665">
        <v>1.126470588235294</v>
      </c>
      <c r="F665">
        <v>0.03759791122715405</v>
      </c>
      <c r="G665">
        <v>-0.02353646734498771</v>
      </c>
      <c r="H665">
        <v>0.06</v>
      </c>
      <c r="I665">
        <v>0.06687527888499223</v>
      </c>
      <c r="J665" t="s">
        <v>777</v>
      </c>
      <c r="K665" t="s">
        <v>514</v>
      </c>
      <c r="L665">
        <v>1.1</v>
      </c>
      <c r="M665">
        <v>0.72</v>
      </c>
      <c r="N665">
        <v>0.6545454545454544</v>
      </c>
      <c r="O665">
        <v>1</v>
      </c>
      <c r="P665">
        <v>0.01087212085035083</v>
      </c>
      <c r="Q665">
        <v>0.140896240672802</v>
      </c>
      <c r="R665" t="s">
        <v>779</v>
      </c>
      <c r="S665" t="s">
        <v>783</v>
      </c>
      <c r="T665">
        <v>95989.32797300001</v>
      </c>
      <c r="U665" s="2">
        <v>44439</v>
      </c>
      <c r="V665" t="s">
        <v>802</v>
      </c>
    </row>
    <row r="666" spans="1:22">
      <c r="A666" s="1" t="s">
        <v>686</v>
      </c>
      <c r="B666">
        <f>HYPERLINK("https://www.suredividend.com/sure-analysis-EVA/","Enviva Partners LP")</f>
        <v>0</v>
      </c>
      <c r="C666">
        <v>66.47</v>
      </c>
      <c r="D666">
        <v>54</v>
      </c>
      <c r="E666">
        <v>1.230925925925926</v>
      </c>
      <c r="F666">
        <v>0.04904468181134346</v>
      </c>
      <c r="G666">
        <v>-0.04070182951728141</v>
      </c>
      <c r="H666">
        <v>0.055</v>
      </c>
      <c r="I666">
        <v>0.06537695185593217</v>
      </c>
      <c r="J666" t="s">
        <v>777</v>
      </c>
      <c r="K666" t="s">
        <v>370</v>
      </c>
      <c r="L666">
        <v>4.58</v>
      </c>
      <c r="M666">
        <v>3.26</v>
      </c>
      <c r="N666">
        <v>0.7117903930131004</v>
      </c>
      <c r="O666">
        <v>4</v>
      </c>
      <c r="P666">
        <v>0.07999957023861581</v>
      </c>
      <c r="Q666">
        <v>0.647395235308951</v>
      </c>
      <c r="R666" t="s">
        <v>779</v>
      </c>
      <c r="S666" t="s">
        <v>787</v>
      </c>
      <c r="T666">
        <v>4105.854319</v>
      </c>
      <c r="U666" s="2">
        <v>44420</v>
      </c>
      <c r="V666" t="s">
        <v>801</v>
      </c>
    </row>
    <row r="667" spans="1:22">
      <c r="A667" s="1" t="s">
        <v>687</v>
      </c>
      <c r="B667">
        <f>HYPERLINK("https://www.suredividend.com/sure-analysis-ILPT/","Industrial Logistics Properties Trust")</f>
        <v>0</v>
      </c>
      <c r="C667">
        <v>25.49</v>
      </c>
      <c r="D667">
        <v>24</v>
      </c>
      <c r="E667">
        <v>1.062083333333333</v>
      </c>
      <c r="F667">
        <v>0.05178501373087486</v>
      </c>
      <c r="G667">
        <v>-0.0119742092806473</v>
      </c>
      <c r="H667">
        <v>0.03</v>
      </c>
      <c r="I667">
        <v>0.06447144888842704</v>
      </c>
      <c r="J667" t="s">
        <v>777</v>
      </c>
      <c r="K667" t="s">
        <v>370</v>
      </c>
      <c r="L667">
        <v>1.87</v>
      </c>
      <c r="M667">
        <v>1.32</v>
      </c>
      <c r="N667">
        <v>0.7058823529411765</v>
      </c>
      <c r="O667">
        <v>0</v>
      </c>
      <c r="P667">
        <v>0.02036554426441151</v>
      </c>
      <c r="Q667">
        <v>0.3628575055000841</v>
      </c>
      <c r="R667" t="s">
        <v>781</v>
      </c>
      <c r="S667" t="s">
        <v>793</v>
      </c>
      <c r="T667">
        <v>1685.476336</v>
      </c>
      <c r="U667" s="2">
        <v>44498</v>
      </c>
      <c r="V667" t="s">
        <v>794</v>
      </c>
    </row>
    <row r="668" spans="1:22">
      <c r="A668" s="1" t="s">
        <v>688</v>
      </c>
      <c r="B668">
        <f>HYPERLINK("https://www.suredividend.com/sure-analysis-CSWC/","Capital Southwest Corp.")</f>
        <v>0</v>
      </c>
      <c r="C668">
        <v>27.12</v>
      </c>
      <c r="D668">
        <v>23</v>
      </c>
      <c r="E668">
        <v>1.179130434782609</v>
      </c>
      <c r="F668">
        <v>0.06932153392330383</v>
      </c>
      <c r="G668">
        <v>-0.03241833505511849</v>
      </c>
      <c r="H668">
        <v>0.03</v>
      </c>
      <c r="I668">
        <v>0.0637865041405461</v>
      </c>
      <c r="J668" t="s">
        <v>777</v>
      </c>
      <c r="K668" t="s">
        <v>370</v>
      </c>
      <c r="L668">
        <v>1.65</v>
      </c>
      <c r="M668">
        <v>1.88</v>
      </c>
      <c r="N668">
        <v>1.139393939393939</v>
      </c>
      <c r="O668">
        <v>5</v>
      </c>
      <c r="P668">
        <v>0.03005337366563188</v>
      </c>
      <c r="Q668">
        <v>0.8681492592770981</v>
      </c>
      <c r="R668" t="s">
        <v>782</v>
      </c>
      <c r="S668" t="s">
        <v>790</v>
      </c>
      <c r="T668">
        <v>633.709209</v>
      </c>
      <c r="U668" s="2">
        <v>44504</v>
      </c>
      <c r="V668" t="s">
        <v>794</v>
      </c>
    </row>
    <row r="669" spans="1:22">
      <c r="A669" s="1" t="s">
        <v>689</v>
      </c>
      <c r="B669">
        <f>HYPERLINK("https://www.suredividend.com/sure-analysis-GSK/","Glaxosmithkline plc")</f>
        <v>0</v>
      </c>
      <c r="C669">
        <v>43.18</v>
      </c>
      <c r="D669">
        <v>40</v>
      </c>
      <c r="E669">
        <v>1.0795</v>
      </c>
      <c r="F669">
        <v>0.05094951366373322</v>
      </c>
      <c r="G669">
        <v>-0.01518315000924486</v>
      </c>
      <c r="H669">
        <v>0.03</v>
      </c>
      <c r="I669">
        <v>0.06224939056588874</v>
      </c>
      <c r="J669" t="s">
        <v>777</v>
      </c>
      <c r="K669" t="s">
        <v>370</v>
      </c>
      <c r="L669">
        <v>2.9</v>
      </c>
      <c r="M669">
        <v>2.2</v>
      </c>
      <c r="N669">
        <v>0.7586206896551725</v>
      </c>
      <c r="O669">
        <v>3</v>
      </c>
      <c r="P669">
        <v>0.02996744995959233</v>
      </c>
      <c r="Q669">
        <v>0.206087737026018</v>
      </c>
      <c r="R669" t="s">
        <v>779</v>
      </c>
      <c r="S669" t="s">
        <v>784</v>
      </c>
      <c r="T669">
        <v>107488.942885</v>
      </c>
      <c r="U669" s="2">
        <v>44496</v>
      </c>
      <c r="V669" t="s">
        <v>795</v>
      </c>
    </row>
    <row r="670" spans="1:22">
      <c r="A670" s="1" t="s">
        <v>690</v>
      </c>
      <c r="B670">
        <f>HYPERLINK("https://www.suredividend.com/sure-analysis-TSLX/","Sixth Street Specialty Lending Inc")</f>
        <v>0</v>
      </c>
      <c r="C670">
        <v>24.35</v>
      </c>
      <c r="D670">
        <v>21.78</v>
      </c>
      <c r="E670">
        <v>1.117998163452709</v>
      </c>
      <c r="F670">
        <v>0.06735112936344968</v>
      </c>
      <c r="G670">
        <v>-0.02206096413317926</v>
      </c>
      <c r="H670">
        <v>0.02</v>
      </c>
      <c r="I670">
        <v>0.06106729748774709</v>
      </c>
      <c r="J670" t="s">
        <v>777</v>
      </c>
      <c r="K670" t="s">
        <v>370</v>
      </c>
      <c r="L670">
        <v>1.98</v>
      </c>
      <c r="M670">
        <v>1.64</v>
      </c>
      <c r="N670">
        <v>0.8282828282828283</v>
      </c>
      <c r="O670">
        <v>6</v>
      </c>
      <c r="P670">
        <v>0.01992196624507558</v>
      </c>
      <c r="Q670">
        <v>0.487877457436948</v>
      </c>
      <c r="R670" t="s">
        <v>782</v>
      </c>
      <c r="S670" t="s">
        <v>790</v>
      </c>
      <c r="T670">
        <v>1783.729499</v>
      </c>
      <c r="U670" s="2">
        <v>44504</v>
      </c>
      <c r="V670" t="s">
        <v>794</v>
      </c>
    </row>
    <row r="671" spans="1:22">
      <c r="A671" s="1" t="s">
        <v>691</v>
      </c>
      <c r="B671">
        <f>HYPERLINK("https://www.suredividend.com/sure-analysis-FDUS/","Fidus Investment Corp")</f>
        <v>0</v>
      </c>
      <c r="C671">
        <v>18.07</v>
      </c>
      <c r="D671">
        <v>17.85</v>
      </c>
      <c r="E671">
        <v>1.012324929971989</v>
      </c>
      <c r="F671">
        <v>0.07083563918096292</v>
      </c>
      <c r="G671">
        <v>-0.002446920672747321</v>
      </c>
      <c r="H671">
        <v>0</v>
      </c>
      <c r="I671">
        <v>0.0605977905974795</v>
      </c>
      <c r="J671" t="s">
        <v>777</v>
      </c>
      <c r="K671" t="s">
        <v>370</v>
      </c>
      <c r="L671">
        <v>1.7</v>
      </c>
      <c r="M671">
        <v>1.28</v>
      </c>
      <c r="N671">
        <v>0.7529411764705882</v>
      </c>
      <c r="O671">
        <v>0</v>
      </c>
      <c r="P671">
        <v>0</v>
      </c>
      <c r="Q671">
        <v>0.5866786775002001</v>
      </c>
      <c r="R671" t="s">
        <v>782</v>
      </c>
      <c r="S671" t="s">
        <v>790</v>
      </c>
      <c r="T671">
        <v>434.741346</v>
      </c>
      <c r="U671" s="2">
        <v>44420</v>
      </c>
      <c r="V671" t="s">
        <v>794</v>
      </c>
    </row>
    <row r="672" spans="1:22">
      <c r="A672" s="1" t="s">
        <v>692</v>
      </c>
      <c r="B672">
        <f>HYPERLINK("https://www.suredividend.com/sure-analysis-VNO/","Vornado Realty Trust")</f>
        <v>0</v>
      </c>
      <c r="C672">
        <v>44.86</v>
      </c>
      <c r="D672">
        <v>42</v>
      </c>
      <c r="E672">
        <v>1.068095238095238</v>
      </c>
      <c r="F672">
        <v>0.04725813642443157</v>
      </c>
      <c r="G672">
        <v>-0.01308896674920534</v>
      </c>
      <c r="H672">
        <v>0.03</v>
      </c>
      <c r="I672">
        <v>0.05967499826199285</v>
      </c>
      <c r="J672" t="s">
        <v>777</v>
      </c>
      <c r="K672" t="s">
        <v>370</v>
      </c>
      <c r="L672">
        <v>2.8</v>
      </c>
      <c r="M672">
        <v>2.12</v>
      </c>
      <c r="N672">
        <v>0.7571428571428572</v>
      </c>
      <c r="O672">
        <v>0</v>
      </c>
      <c r="P672">
        <v>0.01994322923769842</v>
      </c>
      <c r="Q672">
        <v>0.22903632255822</v>
      </c>
      <c r="R672" t="s">
        <v>781</v>
      </c>
      <c r="S672" t="s">
        <v>793</v>
      </c>
      <c r="T672">
        <v>8670.039817000001</v>
      </c>
      <c r="U672" s="2">
        <v>44503</v>
      </c>
      <c r="V672" t="s">
        <v>794</v>
      </c>
    </row>
    <row r="673" spans="1:22">
      <c r="A673" s="1" t="s">
        <v>693</v>
      </c>
      <c r="B673">
        <f>HYPERLINK("https://www.suredividend.com/sure-analysis-GMRE/","Global Medical REIT Inc")</f>
        <v>0</v>
      </c>
      <c r="C673">
        <v>16.78</v>
      </c>
      <c r="D673">
        <v>14.25</v>
      </c>
      <c r="E673">
        <v>1.177543859649123</v>
      </c>
      <c r="F673">
        <v>0.04886769964243146</v>
      </c>
      <c r="G673">
        <v>-0.03215773935670529</v>
      </c>
      <c r="H673">
        <v>0.05</v>
      </c>
      <c r="I673">
        <v>0.05953533579248993</v>
      </c>
      <c r="J673" t="s">
        <v>777</v>
      </c>
      <c r="K673" t="s">
        <v>514</v>
      </c>
      <c r="L673">
        <v>0.95</v>
      </c>
      <c r="M673">
        <v>0.82</v>
      </c>
      <c r="N673">
        <v>0.8631578947368421</v>
      </c>
      <c r="O673">
        <v>1</v>
      </c>
      <c r="P673">
        <v>0.009571122817161548</v>
      </c>
      <c r="Q673">
        <v>0.320160591986145</v>
      </c>
      <c r="R673" t="s">
        <v>781</v>
      </c>
      <c r="S673" t="s">
        <v>793</v>
      </c>
      <c r="T673">
        <v>1076.766869</v>
      </c>
      <c r="U673" s="2">
        <v>44504</v>
      </c>
      <c r="V673" t="s">
        <v>794</v>
      </c>
    </row>
    <row r="674" spans="1:22">
      <c r="A674" s="1" t="s">
        <v>694</v>
      </c>
      <c r="B674">
        <f>HYPERLINK("https://www.suredividend.com/sure-analysis-NEM/","Newmont Corp")</f>
        <v>0</v>
      </c>
      <c r="C674">
        <v>58.17</v>
      </c>
      <c r="D674">
        <v>56</v>
      </c>
      <c r="E674">
        <v>1.03875</v>
      </c>
      <c r="F674">
        <v>0.03782018222451436</v>
      </c>
      <c r="G674">
        <v>-0.007574779096860995</v>
      </c>
      <c r="H674">
        <v>0.03</v>
      </c>
      <c r="I674">
        <v>0.05857155462018726</v>
      </c>
      <c r="J674" t="s">
        <v>777</v>
      </c>
      <c r="K674" t="s">
        <v>514</v>
      </c>
      <c r="L674">
        <v>3.1</v>
      </c>
      <c r="M674">
        <v>2.2</v>
      </c>
      <c r="N674">
        <v>0.7096774193548387</v>
      </c>
      <c r="O674">
        <v>6</v>
      </c>
      <c r="P674">
        <v>0.04026125343417397</v>
      </c>
      <c r="Q674">
        <v>-0.111110414966551</v>
      </c>
      <c r="R674" t="s">
        <v>779</v>
      </c>
      <c r="S674" t="s">
        <v>787</v>
      </c>
      <c r="T674">
        <v>45254.453502</v>
      </c>
      <c r="U674" s="2">
        <v>44502</v>
      </c>
      <c r="V674" t="s">
        <v>797</v>
      </c>
    </row>
    <row r="675" spans="1:22">
      <c r="A675" s="1" t="s">
        <v>695</v>
      </c>
      <c r="B675">
        <f>HYPERLINK("https://www.suredividend.com/sure-analysis-HRZN/","Horizon Technology Finance Corp")</f>
        <v>0</v>
      </c>
      <c r="C675">
        <v>17.61</v>
      </c>
      <c r="D675">
        <v>15.76</v>
      </c>
      <c r="E675">
        <v>1.11738578680203</v>
      </c>
      <c r="F675">
        <v>0.06814310051107325</v>
      </c>
      <c r="G675">
        <v>-0.02195379688631305</v>
      </c>
      <c r="H675">
        <v>0.02</v>
      </c>
      <c r="I675">
        <v>0.05850390321777343</v>
      </c>
      <c r="J675" t="s">
        <v>777</v>
      </c>
      <c r="K675" t="s">
        <v>370</v>
      </c>
      <c r="L675">
        <v>1.37</v>
      </c>
      <c r="M675">
        <v>1.2</v>
      </c>
      <c r="N675">
        <v>0.875912408759124</v>
      </c>
      <c r="O675">
        <v>0</v>
      </c>
      <c r="P675">
        <v>0</v>
      </c>
      <c r="Q675">
        <v>0.6260387301236341</v>
      </c>
      <c r="R675" t="s">
        <v>782</v>
      </c>
      <c r="S675" t="s">
        <v>790</v>
      </c>
      <c r="T675">
        <v>360.540839</v>
      </c>
      <c r="U675" s="2">
        <v>44502</v>
      </c>
      <c r="V675" t="s">
        <v>794</v>
      </c>
    </row>
    <row r="676" spans="1:22">
      <c r="A676" s="1" t="s">
        <v>696</v>
      </c>
      <c r="B676">
        <f>HYPERLINK("https://www.suredividend.com/sure-analysis-STWD/","Starwood Property Trust Inc")</f>
        <v>0</v>
      </c>
      <c r="C676">
        <v>26.09</v>
      </c>
      <c r="D676">
        <v>25</v>
      </c>
      <c r="E676">
        <v>1.0436</v>
      </c>
      <c r="F676">
        <v>0.07359141433499425</v>
      </c>
      <c r="G676">
        <v>-0.008498932980639418</v>
      </c>
      <c r="H676">
        <v>0</v>
      </c>
      <c r="I676">
        <v>0.05808462555368488</v>
      </c>
      <c r="J676" t="s">
        <v>777</v>
      </c>
      <c r="K676" t="s">
        <v>370</v>
      </c>
      <c r="L676">
        <v>2</v>
      </c>
      <c r="M676">
        <v>1.92</v>
      </c>
      <c r="N676">
        <v>0.96</v>
      </c>
      <c r="O676">
        <v>0</v>
      </c>
      <c r="P676">
        <v>0</v>
      </c>
      <c r="Q676">
        <v>0.69025055173309</v>
      </c>
      <c r="R676" t="s">
        <v>781</v>
      </c>
      <c r="S676" t="s">
        <v>793</v>
      </c>
      <c r="T676">
        <v>7506.761281</v>
      </c>
      <c r="U676" s="2">
        <v>44509</v>
      </c>
      <c r="V676" t="s">
        <v>794</v>
      </c>
    </row>
    <row r="677" spans="1:22">
      <c r="A677" s="1" t="s">
        <v>697</v>
      </c>
      <c r="B677">
        <f>HYPERLINK("https://www.suredividend.com/sure-analysis-CBRL/","Cracker Barrel Old Country Store Inc")</f>
        <v>0</v>
      </c>
      <c r="C677">
        <v>146.78</v>
      </c>
      <c r="D677">
        <v>128</v>
      </c>
      <c r="E677">
        <v>1.14671875</v>
      </c>
      <c r="F677">
        <v>0.03542716991415724</v>
      </c>
      <c r="G677">
        <v>-0.02700946125355819</v>
      </c>
      <c r="H677">
        <v>0.052</v>
      </c>
      <c r="I677">
        <v>0.05658399880554277</v>
      </c>
      <c r="J677" t="s">
        <v>777</v>
      </c>
      <c r="K677" t="s">
        <v>514</v>
      </c>
      <c r="L677">
        <v>8.52</v>
      </c>
      <c r="M677">
        <v>5.2</v>
      </c>
      <c r="N677">
        <v>0.6103286384976526</v>
      </c>
      <c r="O677">
        <v>0</v>
      </c>
      <c r="P677">
        <v>0.02903366107118788</v>
      </c>
      <c r="Q677">
        <v>0.08594704684317701</v>
      </c>
      <c r="R677" t="s">
        <v>779</v>
      </c>
      <c r="S677" t="s">
        <v>788</v>
      </c>
      <c r="T677">
        <v>3447.544325</v>
      </c>
      <c r="U677" s="2">
        <v>44466</v>
      </c>
      <c r="V677" t="s">
        <v>803</v>
      </c>
    </row>
    <row r="678" spans="1:22">
      <c r="A678" s="1" t="s">
        <v>698</v>
      </c>
      <c r="B678">
        <f>HYPERLINK("https://www.suredividend.com/sure-analysis-NSA/","National Storage Affiliates Trust")</f>
        <v>0</v>
      </c>
      <c r="C678">
        <v>62.37</v>
      </c>
      <c r="D678">
        <v>49</v>
      </c>
      <c r="E678">
        <v>1.272857142857143</v>
      </c>
      <c r="F678">
        <v>0.02629469296135963</v>
      </c>
      <c r="G678">
        <v>-0.04710715230475671</v>
      </c>
      <c r="H678">
        <v>0.08</v>
      </c>
      <c r="I678">
        <v>0.05647870635118046</v>
      </c>
      <c r="J678" t="s">
        <v>777</v>
      </c>
      <c r="K678" t="s">
        <v>514</v>
      </c>
      <c r="L678">
        <v>2.21</v>
      </c>
      <c r="M678">
        <v>1.64</v>
      </c>
      <c r="N678">
        <v>0.7420814479638008</v>
      </c>
      <c r="O678">
        <v>6</v>
      </c>
      <c r="P678">
        <v>0.06998280282640246</v>
      </c>
      <c r="Q678">
        <v>0.95109399955443</v>
      </c>
      <c r="R678" t="s">
        <v>781</v>
      </c>
      <c r="S678" t="s">
        <v>793</v>
      </c>
      <c r="T678">
        <v>5538.283745</v>
      </c>
      <c r="U678" s="2">
        <v>44505</v>
      </c>
      <c r="V678" t="s">
        <v>794</v>
      </c>
    </row>
    <row r="679" spans="1:22">
      <c r="A679" s="1" t="s">
        <v>699</v>
      </c>
      <c r="B679">
        <f>HYPERLINK("https://www.suredividend.com/sure-analysis-EIC/","Eagle Point Income Company Inc")</f>
        <v>0</v>
      </c>
      <c r="C679">
        <v>18.08</v>
      </c>
      <c r="D679">
        <v>14.56</v>
      </c>
      <c r="E679">
        <v>1.241758241758242</v>
      </c>
      <c r="F679">
        <v>0.07964601769911504</v>
      </c>
      <c r="G679">
        <v>-0.04238136272085213</v>
      </c>
      <c r="H679">
        <v>0.02</v>
      </c>
      <c r="I679">
        <v>0.05579917528970091</v>
      </c>
      <c r="J679" t="s">
        <v>777</v>
      </c>
      <c r="K679" t="s">
        <v>370</v>
      </c>
      <c r="L679">
        <v>1.12</v>
      </c>
      <c r="M679">
        <v>1.44</v>
      </c>
      <c r="N679">
        <v>1.285714285714286</v>
      </c>
      <c r="O679">
        <v>1</v>
      </c>
      <c r="P679">
        <v>0.02001586442069092</v>
      </c>
      <c r="Q679">
        <v>0.457674178343126</v>
      </c>
      <c r="R679" t="s">
        <v>779</v>
      </c>
      <c r="S679" t="s">
        <v>790</v>
      </c>
      <c r="T679">
        <v>110.282631</v>
      </c>
      <c r="U679" s="2">
        <v>44428</v>
      </c>
      <c r="V679" t="s">
        <v>794</v>
      </c>
    </row>
    <row r="680" spans="1:22">
      <c r="A680" s="1" t="s">
        <v>700</v>
      </c>
      <c r="B680">
        <f>HYPERLINK("https://www.suredividend.com/sure-analysis-ARR/","ARMOUR Residential REIT Inc")</f>
        <v>0</v>
      </c>
      <c r="C680">
        <v>10.62</v>
      </c>
      <c r="D680">
        <v>6.7</v>
      </c>
      <c r="E680">
        <v>1.585074626865671</v>
      </c>
      <c r="F680">
        <v>0.1129943502824859</v>
      </c>
      <c r="G680">
        <v>-0.08801004013045288</v>
      </c>
      <c r="H680">
        <v>0.046</v>
      </c>
      <c r="I680">
        <v>0.0557820407927756</v>
      </c>
      <c r="J680" t="s">
        <v>777</v>
      </c>
      <c r="K680" t="s">
        <v>370</v>
      </c>
      <c r="L680">
        <v>0.96</v>
      </c>
      <c r="M680">
        <v>1.2</v>
      </c>
      <c r="N680">
        <v>1.25</v>
      </c>
      <c r="O680">
        <v>0</v>
      </c>
      <c r="P680">
        <v>-0.0263528193848318</v>
      </c>
      <c r="Q680">
        <v>0.193853822446232</v>
      </c>
      <c r="R680" t="s">
        <v>781</v>
      </c>
      <c r="S680" t="s">
        <v>793</v>
      </c>
      <c r="T680">
        <v>962.363281</v>
      </c>
      <c r="U680" s="2">
        <v>44503</v>
      </c>
      <c r="V680" t="s">
        <v>803</v>
      </c>
    </row>
    <row r="681" spans="1:22">
      <c r="A681" s="1" t="s">
        <v>701</v>
      </c>
      <c r="B681">
        <f>HYPERLINK("https://www.suredividend.com/sure-analysis-IDEXY/","Industria De Diseno Textil SA")</f>
        <v>0</v>
      </c>
      <c r="C681">
        <v>18.48</v>
      </c>
      <c r="D681">
        <v>13.5</v>
      </c>
      <c r="E681">
        <v>1.368888888888889</v>
      </c>
      <c r="F681">
        <v>0.02272727272727272</v>
      </c>
      <c r="G681">
        <v>-0.06086860252818882</v>
      </c>
      <c r="H681">
        <v>0.1</v>
      </c>
      <c r="I681">
        <v>0.05532490701688175</v>
      </c>
      <c r="J681" t="s">
        <v>777</v>
      </c>
      <c r="K681" t="s">
        <v>777</v>
      </c>
      <c r="L681">
        <v>0.54</v>
      </c>
      <c r="M681">
        <v>0.42</v>
      </c>
      <c r="N681">
        <v>0.7777777777777777</v>
      </c>
      <c r="O681">
        <v>0</v>
      </c>
      <c r="P681">
        <v>0.05154749679728043</v>
      </c>
      <c r="Q681">
        <v>0.18525641025641</v>
      </c>
      <c r="R681" t="s">
        <v>779</v>
      </c>
      <c r="S681" t="s">
        <v>788</v>
      </c>
      <c r="T681">
        <v>115253.79096</v>
      </c>
      <c r="U681" s="2">
        <v>44458</v>
      </c>
      <c r="V681" t="s">
        <v>794</v>
      </c>
    </row>
    <row r="682" spans="1:22">
      <c r="A682" s="1" t="s">
        <v>702</v>
      </c>
      <c r="B682">
        <f>HYPERLINK("https://www.suredividend.com/sure-analysis-PFLT/","PennantPark Floating Rate Capital Ltd")</f>
        <v>0</v>
      </c>
      <c r="C682">
        <v>13.65</v>
      </c>
      <c r="D682">
        <v>12</v>
      </c>
      <c r="E682">
        <v>1.1375</v>
      </c>
      <c r="F682">
        <v>0.08351648351648351</v>
      </c>
      <c r="G682">
        <v>-0.02543744906113798</v>
      </c>
      <c r="H682">
        <v>0.001</v>
      </c>
      <c r="I682">
        <v>0.05405348739473959</v>
      </c>
      <c r="J682" t="s">
        <v>777</v>
      </c>
      <c r="K682" t="s">
        <v>370</v>
      </c>
      <c r="L682">
        <v>1.62</v>
      </c>
      <c r="M682">
        <v>1.14</v>
      </c>
      <c r="N682">
        <v>0.7037037037037036</v>
      </c>
      <c r="O682">
        <v>0</v>
      </c>
      <c r="P682">
        <v>0</v>
      </c>
      <c r="Q682">
        <v>0.7280230909459181</v>
      </c>
      <c r="R682" t="s">
        <v>782</v>
      </c>
      <c r="S682" t="s">
        <v>790</v>
      </c>
      <c r="T682">
        <v>529.2388099999999</v>
      </c>
      <c r="U682" s="2">
        <v>44420</v>
      </c>
      <c r="V682" t="s">
        <v>803</v>
      </c>
    </row>
    <row r="683" spans="1:22">
      <c r="A683" s="1" t="s">
        <v>703</v>
      </c>
      <c r="B683">
        <f>HYPERLINK("https://www.suredividend.com/sure-analysis-STOR/","Store Capital Corp")</f>
        <v>0</v>
      </c>
      <c r="C683">
        <v>34.24</v>
      </c>
      <c r="D683">
        <v>29</v>
      </c>
      <c r="E683">
        <v>1.180689655172414</v>
      </c>
      <c r="F683">
        <v>0.04497663551401869</v>
      </c>
      <c r="G683">
        <v>-0.03267402809494691</v>
      </c>
      <c r="H683">
        <v>0.04</v>
      </c>
      <c r="I683">
        <v>0.05333766202662726</v>
      </c>
      <c r="J683" t="s">
        <v>777</v>
      </c>
      <c r="K683" t="s">
        <v>370</v>
      </c>
      <c r="L683">
        <v>1.95</v>
      </c>
      <c r="M683">
        <v>1.54</v>
      </c>
      <c r="N683">
        <v>0.7897435897435898</v>
      </c>
      <c r="O683">
        <v>8</v>
      </c>
      <c r="P683">
        <v>0.05680549653640732</v>
      </c>
      <c r="Q683">
        <v>0.20023717051367</v>
      </c>
      <c r="R683" t="s">
        <v>781</v>
      </c>
      <c r="S683" t="s">
        <v>793</v>
      </c>
      <c r="T683">
        <v>9328.187974</v>
      </c>
      <c r="U683" s="2">
        <v>44439</v>
      </c>
      <c r="V683" t="s">
        <v>800</v>
      </c>
    </row>
    <row r="684" spans="1:22">
      <c r="A684" s="1" t="s">
        <v>704</v>
      </c>
      <c r="B684">
        <f>HYPERLINK("https://www.suredividend.com/sure-analysis-BRMK/","Broadmark Realty Capital Inc")</f>
        <v>0</v>
      </c>
      <c r="C684">
        <v>10.23</v>
      </c>
      <c r="D684">
        <v>7.8</v>
      </c>
      <c r="E684">
        <v>1.311538461538462</v>
      </c>
      <c r="F684">
        <v>0.08211143695014662</v>
      </c>
      <c r="G684">
        <v>-0.05279541023769851</v>
      </c>
      <c r="H684">
        <v>0.03</v>
      </c>
      <c r="I684">
        <v>0.05297438264356669</v>
      </c>
      <c r="J684" t="s">
        <v>777</v>
      </c>
      <c r="K684" t="s">
        <v>370</v>
      </c>
      <c r="L684">
        <v>0.78</v>
      </c>
      <c r="M684">
        <v>0.84</v>
      </c>
      <c r="N684">
        <v>1.076923076923077</v>
      </c>
      <c r="O684">
        <v>1</v>
      </c>
      <c r="P684">
        <v>0</v>
      </c>
      <c r="Q684">
        <v>0.09870124312643001</v>
      </c>
      <c r="R684" t="s">
        <v>781</v>
      </c>
      <c r="S684" t="s">
        <v>793</v>
      </c>
      <c r="T684">
        <v>1362.745228</v>
      </c>
      <c r="U684" s="2">
        <v>44509</v>
      </c>
      <c r="V684" t="s">
        <v>795</v>
      </c>
    </row>
    <row r="685" spans="1:22">
      <c r="A685" s="1" t="s">
        <v>705</v>
      </c>
      <c r="B685">
        <f>HYPERLINK("https://www.suredividend.com/sure-analysis-GLPI/","Gaming and Leisure Properties Inc")</f>
        <v>0</v>
      </c>
      <c r="C685">
        <v>48.31</v>
      </c>
      <c r="D685">
        <v>49</v>
      </c>
      <c r="E685">
        <v>0.9859183673469388</v>
      </c>
      <c r="F685">
        <v>0.05547505692403229</v>
      </c>
      <c r="G685">
        <v>0.002840370137937143</v>
      </c>
      <c r="H685">
        <v>-0.001</v>
      </c>
      <c r="I685">
        <v>0.05290017661463664</v>
      </c>
      <c r="J685" t="s">
        <v>777</v>
      </c>
      <c r="K685" t="s">
        <v>370</v>
      </c>
      <c r="L685">
        <v>3.47</v>
      </c>
      <c r="M685">
        <v>2.68</v>
      </c>
      <c r="N685">
        <v>0.7723342939481268</v>
      </c>
      <c r="O685">
        <v>0</v>
      </c>
      <c r="P685">
        <v>0.008799010229586735</v>
      </c>
      <c r="Q685">
        <v>0.291149064195995</v>
      </c>
      <c r="R685" t="s">
        <v>781</v>
      </c>
      <c r="S685" t="s">
        <v>793</v>
      </c>
      <c r="T685">
        <v>11579.096827</v>
      </c>
      <c r="U685" s="2">
        <v>44506</v>
      </c>
      <c r="V685" t="s">
        <v>803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54.75</v>
      </c>
      <c r="D686">
        <v>41</v>
      </c>
      <c r="E686">
        <v>1.335365853658537</v>
      </c>
      <c r="F686">
        <v>0.03287671232876713</v>
      </c>
      <c r="G686">
        <v>-0.0562000572967849</v>
      </c>
      <c r="H686">
        <v>0.08</v>
      </c>
      <c r="I686">
        <v>0.05261153486529957</v>
      </c>
      <c r="J686" t="s">
        <v>777</v>
      </c>
      <c r="K686" t="s">
        <v>514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0.165633882386173</v>
      </c>
      <c r="R686" t="s">
        <v>781</v>
      </c>
      <c r="S686" t="s">
        <v>793</v>
      </c>
      <c r="T686">
        <v>21084.470615</v>
      </c>
      <c r="U686" s="2">
        <v>44435</v>
      </c>
      <c r="V686" t="s">
        <v>802</v>
      </c>
    </row>
    <row r="687" spans="1:22">
      <c r="A687" s="1" t="s">
        <v>707</v>
      </c>
      <c r="B687">
        <f>HYPERLINK("https://www.suredividend.com/sure-analysis-BEP/","Brookfield Renewable Partners LP")</f>
        <v>0</v>
      </c>
      <c r="C687">
        <v>38.75</v>
      </c>
      <c r="D687">
        <v>32</v>
      </c>
      <c r="E687">
        <v>1.2109375</v>
      </c>
      <c r="F687">
        <v>0.03148387096774193</v>
      </c>
      <c r="G687">
        <v>-0.03755559025758792</v>
      </c>
      <c r="H687">
        <v>0.06</v>
      </c>
      <c r="I687">
        <v>0.05192035559394048</v>
      </c>
      <c r="J687" t="s">
        <v>777</v>
      </c>
      <c r="K687" t="s">
        <v>514</v>
      </c>
      <c r="L687">
        <v>1.9</v>
      </c>
      <c r="M687">
        <v>1.22</v>
      </c>
      <c r="N687">
        <v>0.6421052631578947</v>
      </c>
      <c r="O687">
        <v>0</v>
      </c>
      <c r="P687">
        <v>0.05039574430966676</v>
      </c>
      <c r="Q687">
        <v>-0.000218236902576</v>
      </c>
      <c r="R687" t="s">
        <v>780</v>
      </c>
      <c r="S687" t="s">
        <v>791</v>
      </c>
      <c r="T687">
        <v>10708.854042</v>
      </c>
      <c r="U687" s="2">
        <v>44439</v>
      </c>
      <c r="V687" t="s">
        <v>802</v>
      </c>
    </row>
    <row r="688" spans="1:22">
      <c r="A688" s="1" t="s">
        <v>708</v>
      </c>
      <c r="B688">
        <f>HYPERLINK("https://www.suredividend.com/sure-analysis-TPVG/","TriplePoint Venture Growth BDC Corp")</f>
        <v>0</v>
      </c>
      <c r="C688">
        <v>18.62</v>
      </c>
      <c r="D688">
        <v>15</v>
      </c>
      <c r="E688">
        <v>1.241333333333333</v>
      </c>
      <c r="F688">
        <v>0.07733619763694952</v>
      </c>
      <c r="G688">
        <v>-0.04231581311953858</v>
      </c>
      <c r="H688">
        <v>0.02</v>
      </c>
      <c r="I688">
        <v>0.04997215701904967</v>
      </c>
      <c r="J688" t="s">
        <v>777</v>
      </c>
      <c r="K688" t="s">
        <v>370</v>
      </c>
      <c r="L688">
        <v>1.25</v>
      </c>
      <c r="M688">
        <v>1.44</v>
      </c>
      <c r="N688">
        <v>1.152</v>
      </c>
      <c r="O688">
        <v>0</v>
      </c>
      <c r="P688">
        <v>0</v>
      </c>
      <c r="Q688">
        <v>0.7535811253627941</v>
      </c>
      <c r="R688" t="s">
        <v>782</v>
      </c>
      <c r="S688" t="s">
        <v>790</v>
      </c>
      <c r="T688">
        <v>580.331725</v>
      </c>
      <c r="U688" s="2">
        <v>44506</v>
      </c>
      <c r="V688" t="s">
        <v>794</v>
      </c>
    </row>
    <row r="689" spans="1:22">
      <c r="A689" s="1" t="s">
        <v>709</v>
      </c>
      <c r="B689">
        <f>HYPERLINK("https://www.suredividend.com/sure-analysis-ARCC/","Ares Capital Corp")</f>
        <v>0</v>
      </c>
      <c r="C689">
        <v>21.02</v>
      </c>
      <c r="D689">
        <v>16.4</v>
      </c>
      <c r="E689">
        <v>1.281707317073171</v>
      </c>
      <c r="F689">
        <v>0.07802093244529019</v>
      </c>
      <c r="G689">
        <v>-0.04842674488494703</v>
      </c>
      <c r="H689">
        <v>0.019</v>
      </c>
      <c r="I689">
        <v>0.04939973908274342</v>
      </c>
      <c r="J689" t="s">
        <v>777</v>
      </c>
      <c r="K689" t="s">
        <v>370</v>
      </c>
      <c r="L689">
        <v>1.82</v>
      </c>
      <c r="M689">
        <v>1.64</v>
      </c>
      <c r="N689">
        <v>0.901098901098901</v>
      </c>
      <c r="O689">
        <v>4</v>
      </c>
      <c r="P689">
        <v>0.02104646949148603</v>
      </c>
      <c r="Q689">
        <v>0.502326484527259</v>
      </c>
      <c r="R689" t="s">
        <v>782</v>
      </c>
      <c r="S689" t="s">
        <v>790</v>
      </c>
      <c r="T689">
        <v>9625.149786</v>
      </c>
      <c r="U689" s="2">
        <v>44496</v>
      </c>
      <c r="V689" t="s">
        <v>803</v>
      </c>
    </row>
    <row r="690" spans="1:22">
      <c r="A690" s="1" t="s">
        <v>710</v>
      </c>
      <c r="B690">
        <f>HYPERLINK("https://www.suredividend.com/sure-analysis-VIA/","Via Renewables Inc")</f>
        <v>0</v>
      </c>
      <c r="C690">
        <v>12.1</v>
      </c>
      <c r="D690">
        <v>10.6</v>
      </c>
      <c r="E690">
        <v>1.141509433962264</v>
      </c>
      <c r="F690">
        <v>0.0603305785123967</v>
      </c>
      <c r="G690">
        <v>-0.02612302299845626</v>
      </c>
      <c r="H690">
        <v>0.02</v>
      </c>
      <c r="I690">
        <v>0.04877669221798664</v>
      </c>
      <c r="J690" t="s">
        <v>777</v>
      </c>
      <c r="K690" t="s">
        <v>370</v>
      </c>
      <c r="L690">
        <v>0.85</v>
      </c>
      <c r="M690">
        <v>0.73</v>
      </c>
      <c r="N690">
        <v>0.8588235294117647</v>
      </c>
      <c r="O690">
        <v>0</v>
      </c>
      <c r="P690">
        <v>0</v>
      </c>
      <c r="Q690">
        <v>0.367578004501468</v>
      </c>
      <c r="R690" t="s">
        <v>779</v>
      </c>
      <c r="S690" t="s">
        <v>791</v>
      </c>
      <c r="T690">
        <v>186.401484</v>
      </c>
      <c r="U690" s="2">
        <v>44442</v>
      </c>
      <c r="V690" t="s">
        <v>802</v>
      </c>
    </row>
    <row r="691" spans="1:22">
      <c r="A691" s="1" t="s">
        <v>711</v>
      </c>
      <c r="B691">
        <f>HYPERLINK("https://www.suredividend.com/sure-analysis-DX/","Dynex Capital, Inc.")</f>
        <v>0</v>
      </c>
      <c r="C691">
        <v>17.87</v>
      </c>
      <c r="D691">
        <v>15.6</v>
      </c>
      <c r="E691">
        <v>1.145512820512821</v>
      </c>
      <c r="F691">
        <v>0.08729714605484051</v>
      </c>
      <c r="G691">
        <v>-0.02680468585951989</v>
      </c>
      <c r="H691">
        <v>-0.0016</v>
      </c>
      <c r="I691">
        <v>0.04868438579427203</v>
      </c>
      <c r="J691" t="s">
        <v>777</v>
      </c>
      <c r="K691" t="s">
        <v>370</v>
      </c>
      <c r="L691">
        <v>1.95</v>
      </c>
      <c r="M691">
        <v>1.56</v>
      </c>
      <c r="N691">
        <v>0.8</v>
      </c>
      <c r="O691">
        <v>0</v>
      </c>
      <c r="P691">
        <v>-0.02706716144586752</v>
      </c>
      <c r="Q691">
        <v>0.152245881155723</v>
      </c>
      <c r="R691" t="s">
        <v>781</v>
      </c>
      <c r="S691" t="s">
        <v>793</v>
      </c>
      <c r="T691">
        <v>655.951251</v>
      </c>
      <c r="U691" s="2">
        <v>44503</v>
      </c>
      <c r="V691" t="s">
        <v>803</v>
      </c>
    </row>
    <row r="692" spans="1:22">
      <c r="A692" s="1" t="s">
        <v>712</v>
      </c>
      <c r="B692">
        <f>HYPERLINK("https://www.suredividend.com/sure-analysis-VLO/","Valero Energy Corp.")</f>
        <v>0</v>
      </c>
      <c r="C692">
        <v>76.86</v>
      </c>
      <c r="D692">
        <v>64</v>
      </c>
      <c r="E692">
        <v>1.2009375</v>
      </c>
      <c r="F692">
        <v>0.05100182149362477</v>
      </c>
      <c r="G692">
        <v>-0.0359580804969889</v>
      </c>
      <c r="H692">
        <v>0.04</v>
      </c>
      <c r="I692">
        <v>0.04864951819039742</v>
      </c>
      <c r="J692" t="s">
        <v>777</v>
      </c>
      <c r="K692" t="s">
        <v>514</v>
      </c>
      <c r="L692">
        <v>0.5</v>
      </c>
      <c r="M692">
        <v>3.92</v>
      </c>
      <c r="N692">
        <v>7.84</v>
      </c>
      <c r="O692">
        <v>10</v>
      </c>
      <c r="P692">
        <v>0</v>
      </c>
      <c r="Q692">
        <v>0.6589777728779921</v>
      </c>
      <c r="R692" t="s">
        <v>779</v>
      </c>
      <c r="S692" t="s">
        <v>792</v>
      </c>
      <c r="T692">
        <v>31991.386874</v>
      </c>
      <c r="U692" s="2">
        <v>44491</v>
      </c>
      <c r="V692" t="s">
        <v>802</v>
      </c>
    </row>
    <row r="693" spans="1:22">
      <c r="A693" s="1" t="s">
        <v>713</v>
      </c>
      <c r="B693">
        <f>HYPERLINK("https://www.suredividend.com/sure-analysis-AM/","Antero Midstream Corp")</f>
        <v>0</v>
      </c>
      <c r="C693">
        <v>10.58</v>
      </c>
      <c r="D693">
        <v>8.800000000000001</v>
      </c>
      <c r="E693">
        <v>1.202272727272727</v>
      </c>
      <c r="F693">
        <v>0.08506616257088848</v>
      </c>
      <c r="G693">
        <v>-0.03617230597849741</v>
      </c>
      <c r="H693">
        <v>0</v>
      </c>
      <c r="I693">
        <v>0.04682285198309555</v>
      </c>
      <c r="J693" t="s">
        <v>777</v>
      </c>
      <c r="K693" t="s">
        <v>370</v>
      </c>
      <c r="L693">
        <v>1.25</v>
      </c>
      <c r="M693">
        <v>0.9</v>
      </c>
      <c r="N693">
        <v>0.72</v>
      </c>
      <c r="O693">
        <v>0</v>
      </c>
      <c r="P693">
        <v>0</v>
      </c>
      <c r="Q693">
        <v>0.9523285397232091</v>
      </c>
      <c r="R693" t="s">
        <v>779</v>
      </c>
      <c r="S693" t="s">
        <v>792</v>
      </c>
      <c r="T693">
        <v>5166.590975</v>
      </c>
      <c r="U693" s="2">
        <v>44504</v>
      </c>
      <c r="V693" t="s">
        <v>803</v>
      </c>
    </row>
    <row r="694" spans="1:22">
      <c r="A694" s="1" t="s">
        <v>714</v>
      </c>
      <c r="B694">
        <f>HYPERLINK("https://www.suredividend.com/sure-analysis-GOOD/","Gladstone Commercial Corp")</f>
        <v>0</v>
      </c>
      <c r="C694">
        <v>22.66</v>
      </c>
      <c r="D694">
        <v>19</v>
      </c>
      <c r="E694">
        <v>1.192631578947368</v>
      </c>
      <c r="F694">
        <v>0.06619593998234775</v>
      </c>
      <c r="G694">
        <v>-0.03461901773984799</v>
      </c>
      <c r="H694">
        <v>0.02</v>
      </c>
      <c r="I694">
        <v>0.04676332621810841</v>
      </c>
      <c r="J694" t="s">
        <v>777</v>
      </c>
      <c r="K694" t="s">
        <v>370</v>
      </c>
      <c r="L694">
        <v>1.56</v>
      </c>
      <c r="M694">
        <v>1.5</v>
      </c>
      <c r="N694">
        <v>0.9615384615384615</v>
      </c>
      <c r="O694">
        <v>0</v>
      </c>
      <c r="P694">
        <v>0</v>
      </c>
      <c r="Q694">
        <v>0.387112761804531</v>
      </c>
      <c r="R694" t="s">
        <v>781</v>
      </c>
      <c r="S694" t="s">
        <v>793</v>
      </c>
      <c r="T694">
        <v>844.874991</v>
      </c>
      <c r="U694" s="2">
        <v>44424</v>
      </c>
      <c r="V694" t="s">
        <v>798</v>
      </c>
    </row>
    <row r="695" spans="1:22">
      <c r="A695" s="1" t="s">
        <v>715</v>
      </c>
      <c r="B695">
        <f>HYPERLINK("https://www.suredividend.com/sure-analysis-HTA/","Healthcare Trust of America Inc")</f>
        <v>0</v>
      </c>
      <c r="C695">
        <v>33.99</v>
      </c>
      <c r="D695">
        <v>31</v>
      </c>
      <c r="E695">
        <v>1.096451612903226</v>
      </c>
      <c r="F695">
        <v>0.03795233892321271</v>
      </c>
      <c r="G695">
        <v>-0.01824729657148527</v>
      </c>
      <c r="H695">
        <v>0.03</v>
      </c>
      <c r="I695">
        <v>0.0466074634415945</v>
      </c>
      <c r="J695" t="s">
        <v>777</v>
      </c>
      <c r="K695" t="s">
        <v>514</v>
      </c>
      <c r="L695">
        <v>1.77</v>
      </c>
      <c r="M695">
        <v>1.29</v>
      </c>
      <c r="N695">
        <v>0.728813559322034</v>
      </c>
      <c r="O695">
        <v>8</v>
      </c>
      <c r="P695">
        <v>0.01504434962783696</v>
      </c>
      <c r="Q695">
        <v>0.32097125384186</v>
      </c>
      <c r="R695" t="s">
        <v>781</v>
      </c>
      <c r="S695" t="s">
        <v>793</v>
      </c>
      <c r="T695">
        <v>7422.368608</v>
      </c>
      <c r="U695" s="2">
        <v>44432</v>
      </c>
      <c r="V695" t="s">
        <v>796</v>
      </c>
    </row>
    <row r="696" spans="1:22">
      <c r="A696" s="1" t="s">
        <v>716</v>
      </c>
      <c r="B696">
        <f>HYPERLINK("https://www.suredividend.com/sure-analysis-BGS/","B&amp;G Foods, Inc")</f>
        <v>0</v>
      </c>
      <c r="C696">
        <v>32.65</v>
      </c>
      <c r="D696">
        <v>27</v>
      </c>
      <c r="E696">
        <v>1.209259259259259</v>
      </c>
      <c r="F696">
        <v>0.05819295558958652</v>
      </c>
      <c r="G696">
        <v>-0.03728859746857527</v>
      </c>
      <c r="H696">
        <v>0.03</v>
      </c>
      <c r="I696">
        <v>0.04557754348662879</v>
      </c>
      <c r="J696" t="s">
        <v>777</v>
      </c>
      <c r="K696" t="s">
        <v>370</v>
      </c>
      <c r="L696">
        <v>2.1</v>
      </c>
      <c r="M696">
        <v>1.9</v>
      </c>
      <c r="N696">
        <v>0.9047619047619047</v>
      </c>
      <c r="O696">
        <v>0</v>
      </c>
      <c r="P696">
        <v>0</v>
      </c>
      <c r="Q696">
        <v>0.312680910538374</v>
      </c>
      <c r="R696" t="s">
        <v>779</v>
      </c>
      <c r="S696" t="s">
        <v>789</v>
      </c>
      <c r="T696">
        <v>2145.491812</v>
      </c>
      <c r="U696" s="2">
        <v>44417</v>
      </c>
      <c r="V696" t="s">
        <v>799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15.62</v>
      </c>
      <c r="D697">
        <v>12.1</v>
      </c>
      <c r="E697">
        <v>1.290909090909091</v>
      </c>
      <c r="F697">
        <v>0.0768245838668374</v>
      </c>
      <c r="G697">
        <v>-0.0497872179494856</v>
      </c>
      <c r="H697">
        <v>0.02</v>
      </c>
      <c r="I697">
        <v>0.04385955949849052</v>
      </c>
      <c r="J697" t="s">
        <v>777</v>
      </c>
      <c r="K697" t="s">
        <v>370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0.281107347960535</v>
      </c>
      <c r="R697" t="s">
        <v>782</v>
      </c>
      <c r="S697" t="s">
        <v>790</v>
      </c>
      <c r="T697">
        <v>251.327872</v>
      </c>
      <c r="U697" s="2">
        <v>44504</v>
      </c>
      <c r="V697" t="s">
        <v>794</v>
      </c>
    </row>
    <row r="698" spans="1:22">
      <c r="A698" s="1" t="s">
        <v>718</v>
      </c>
      <c r="B698">
        <f>HYPERLINK("https://www.suredividend.com/sure-analysis-BX/","Blackstone Inc")</f>
        <v>0</v>
      </c>
      <c r="C698">
        <v>139.46</v>
      </c>
      <c r="D698">
        <v>92</v>
      </c>
      <c r="E698">
        <v>1.515869565217391</v>
      </c>
      <c r="F698">
        <v>0.03126344471533056</v>
      </c>
      <c r="G698">
        <v>-0.0798309252748276</v>
      </c>
      <c r="H698">
        <v>0.1</v>
      </c>
      <c r="I698">
        <v>0.04283099862993534</v>
      </c>
      <c r="J698" t="s">
        <v>777</v>
      </c>
      <c r="K698" t="s">
        <v>514</v>
      </c>
      <c r="L698">
        <v>4.6</v>
      </c>
      <c r="M698">
        <v>4.36</v>
      </c>
      <c r="N698">
        <v>0.9478260869565219</v>
      </c>
      <c r="O698">
        <v>0</v>
      </c>
      <c r="P698">
        <v>0.02981918386499416</v>
      </c>
      <c r="Q698">
        <v>1.709857037872098</v>
      </c>
      <c r="R698" t="s">
        <v>779</v>
      </c>
      <c r="S698" t="s">
        <v>790</v>
      </c>
      <c r="T698">
        <v>100551.164705</v>
      </c>
      <c r="U698" s="2">
        <v>44494</v>
      </c>
      <c r="V698" t="s">
        <v>794</v>
      </c>
    </row>
    <row r="699" spans="1:22">
      <c r="A699" s="1" t="s">
        <v>719</v>
      </c>
      <c r="B699">
        <f>HYPERLINK("https://www.suredividend.com/sure-analysis-DANOY/","Danone")</f>
        <v>0</v>
      </c>
      <c r="C699">
        <v>13.2675</v>
      </c>
      <c r="D699">
        <v>12.6</v>
      </c>
      <c r="E699">
        <v>1.052976190476191</v>
      </c>
      <c r="F699">
        <v>0.03316374599585453</v>
      </c>
      <c r="G699">
        <v>-0.01027101351212045</v>
      </c>
      <c r="H699">
        <v>0.02</v>
      </c>
      <c r="I699">
        <v>0.04150741833776306</v>
      </c>
      <c r="J699" t="s">
        <v>777</v>
      </c>
      <c r="K699" t="s">
        <v>514</v>
      </c>
      <c r="L699">
        <v>0.7</v>
      </c>
      <c r="M699">
        <v>0.44</v>
      </c>
      <c r="N699">
        <v>0.6285714285714287</v>
      </c>
      <c r="O699">
        <v>0</v>
      </c>
      <c r="P699">
        <v>0.02175949146424117</v>
      </c>
      <c r="Q699">
        <v>0.112761811982464</v>
      </c>
      <c r="R699" t="s">
        <v>779</v>
      </c>
      <c r="S699" t="s">
        <v>789</v>
      </c>
      <c r="T699">
        <v>45556.49382</v>
      </c>
      <c r="U699" s="2">
        <v>44490</v>
      </c>
      <c r="V699" t="s">
        <v>805</v>
      </c>
    </row>
    <row r="700" spans="1:22">
      <c r="A700" s="1" t="s">
        <v>720</v>
      </c>
      <c r="B700">
        <f>HYPERLINK("https://www.suredividend.com/sure-analysis-APTS/","Preferred Apartment Communities Inc")</f>
        <v>0</v>
      </c>
      <c r="C700">
        <v>13.87</v>
      </c>
      <c r="D700">
        <v>11.6</v>
      </c>
      <c r="E700">
        <v>1.195689655172414</v>
      </c>
      <c r="F700">
        <v>0.05046863734679163</v>
      </c>
      <c r="G700">
        <v>-0.0351133322082009</v>
      </c>
      <c r="H700">
        <v>0.02</v>
      </c>
      <c r="I700">
        <v>0.04015129863719236</v>
      </c>
      <c r="J700" t="s">
        <v>777</v>
      </c>
      <c r="K700" t="s">
        <v>370</v>
      </c>
      <c r="L700">
        <v>0.98</v>
      </c>
      <c r="M700">
        <v>0.7</v>
      </c>
      <c r="N700">
        <v>0.7142857142857143</v>
      </c>
      <c r="O700">
        <v>0</v>
      </c>
      <c r="P700">
        <v>0.05154749679728043</v>
      </c>
      <c r="Q700">
        <v>1.571977656842142</v>
      </c>
      <c r="R700" t="s">
        <v>781</v>
      </c>
      <c r="S700" t="s">
        <v>793</v>
      </c>
      <c r="T700">
        <v>758.188911</v>
      </c>
      <c r="U700" s="2">
        <v>44447</v>
      </c>
      <c r="V700" t="s">
        <v>802</v>
      </c>
    </row>
    <row r="701" spans="1:22">
      <c r="A701" s="1" t="s">
        <v>721</v>
      </c>
      <c r="B701">
        <f>HYPERLINK("https://www.suredividend.com/sure-analysis-ABEV/","Ambev S.A.")</f>
        <v>0</v>
      </c>
      <c r="C701">
        <v>3.18</v>
      </c>
      <c r="D701">
        <v>2.95</v>
      </c>
      <c r="E701">
        <v>1.077966101694915</v>
      </c>
      <c r="F701">
        <v>0.02515723270440251</v>
      </c>
      <c r="G701">
        <v>-0.01490303919388281</v>
      </c>
      <c r="H701">
        <v>0.03</v>
      </c>
      <c r="I701">
        <v>0.03894582534105129</v>
      </c>
      <c r="J701" t="s">
        <v>777</v>
      </c>
      <c r="K701" t="s">
        <v>514</v>
      </c>
      <c r="L701">
        <v>0.13</v>
      </c>
      <c r="M701">
        <v>0.08</v>
      </c>
      <c r="N701">
        <v>0.6153846153846154</v>
      </c>
      <c r="O701">
        <v>0</v>
      </c>
      <c r="P701">
        <v>0.02383625553960966</v>
      </c>
      <c r="Q701">
        <v>0.240646687085643</v>
      </c>
      <c r="R701" t="s">
        <v>779</v>
      </c>
      <c r="S701" t="s">
        <v>789</v>
      </c>
      <c r="T701">
        <v>50372.656624</v>
      </c>
      <c r="U701" s="2">
        <v>44439</v>
      </c>
      <c r="V701" t="s">
        <v>800</v>
      </c>
    </row>
    <row r="702" spans="1:22">
      <c r="A702" s="1" t="s">
        <v>722</v>
      </c>
      <c r="B702">
        <f>HYPERLINK("https://www.suredividend.com/sure-analysis-HTGC/","Hercules Capital Inc")</f>
        <v>0</v>
      </c>
      <c r="C702">
        <v>17.33</v>
      </c>
      <c r="D702">
        <v>13.7</v>
      </c>
      <c r="E702">
        <v>1.264963503649635</v>
      </c>
      <c r="F702">
        <v>0.07616849394114254</v>
      </c>
      <c r="G702">
        <v>-0.04592085921672273</v>
      </c>
      <c r="H702">
        <v>0.001</v>
      </c>
      <c r="I702">
        <v>0.03671556264555265</v>
      </c>
      <c r="J702" t="s">
        <v>777</v>
      </c>
      <c r="K702" t="s">
        <v>370</v>
      </c>
      <c r="L702">
        <v>1.28</v>
      </c>
      <c r="M702">
        <v>1.32</v>
      </c>
      <c r="N702">
        <v>1.03125</v>
      </c>
      <c r="O702">
        <v>0</v>
      </c>
      <c r="P702">
        <v>0.01896393794917839</v>
      </c>
      <c r="Q702">
        <v>0.603278718857258</v>
      </c>
      <c r="R702" t="s">
        <v>782</v>
      </c>
      <c r="S702" t="s">
        <v>790</v>
      </c>
      <c r="T702">
        <v>2008.536983</v>
      </c>
      <c r="U702" s="2">
        <v>44506</v>
      </c>
      <c r="V702" t="s">
        <v>803</v>
      </c>
    </row>
    <row r="703" spans="1:22">
      <c r="A703" s="1" t="s">
        <v>723</v>
      </c>
      <c r="B703">
        <f>HYPERLINK("https://www.suredividend.com/sure-analysis-LSI/","Life Storage Inc")</f>
        <v>0</v>
      </c>
      <c r="C703">
        <v>130.76</v>
      </c>
      <c r="D703">
        <v>88</v>
      </c>
      <c r="E703">
        <v>1.485909090909091</v>
      </c>
      <c r="F703">
        <v>0.02630773936983787</v>
      </c>
      <c r="G703">
        <v>-0.07614981088288353</v>
      </c>
      <c r="H703">
        <v>0.09</v>
      </c>
      <c r="I703">
        <v>0.03435461923640903</v>
      </c>
      <c r="J703" t="s">
        <v>777</v>
      </c>
      <c r="K703" t="s">
        <v>514</v>
      </c>
      <c r="L703">
        <v>4.85</v>
      </c>
      <c r="M703">
        <v>3.44</v>
      </c>
      <c r="N703">
        <v>0.709278350515464</v>
      </c>
      <c r="O703">
        <v>3</v>
      </c>
      <c r="P703">
        <v>0.04073022977591667</v>
      </c>
      <c r="Q703">
        <v>0.90772271339997</v>
      </c>
      <c r="R703" t="s">
        <v>781</v>
      </c>
      <c r="S703" t="s">
        <v>793</v>
      </c>
      <c r="T703">
        <v>10735.111282</v>
      </c>
      <c r="U703" s="2">
        <v>44470</v>
      </c>
      <c r="V703" t="s">
        <v>802</v>
      </c>
    </row>
    <row r="704" spans="1:22">
      <c r="A704" s="1" t="s">
        <v>724</v>
      </c>
      <c r="B704">
        <f>HYPERLINK("https://www.suredividend.com/sure-analysis-ACC/","American Campus Communities Inc.")</f>
        <v>0</v>
      </c>
      <c r="C704">
        <v>53.84</v>
      </c>
      <c r="D704">
        <v>40</v>
      </c>
      <c r="E704">
        <v>1.346</v>
      </c>
      <c r="F704">
        <v>0.03491827637444279</v>
      </c>
      <c r="G704">
        <v>-0.05769610120220292</v>
      </c>
      <c r="H704">
        <v>0.06</v>
      </c>
      <c r="I704">
        <v>0.03409691245750412</v>
      </c>
      <c r="J704" t="s">
        <v>777</v>
      </c>
      <c r="K704" t="s">
        <v>514</v>
      </c>
      <c r="L704">
        <v>2.1</v>
      </c>
      <c r="M704">
        <v>1.88</v>
      </c>
      <c r="N704">
        <v>0.8952380952380952</v>
      </c>
      <c r="O704">
        <v>8</v>
      </c>
      <c r="P704">
        <v>0.02528440313403202</v>
      </c>
      <c r="Q704">
        <v>0.4101296661962751</v>
      </c>
      <c r="R704" t="s">
        <v>781</v>
      </c>
      <c r="S704" t="s">
        <v>793</v>
      </c>
      <c r="T704">
        <v>7522.809634</v>
      </c>
      <c r="U704" s="2">
        <v>44498</v>
      </c>
      <c r="V704" t="s">
        <v>794</v>
      </c>
    </row>
    <row r="705" spans="1:22">
      <c r="A705" s="1" t="s">
        <v>725</v>
      </c>
      <c r="B705">
        <f>HYPERLINK("https://www.suredividend.com/sure-analysis-BCE/","BCE Inc")</f>
        <v>0</v>
      </c>
      <c r="C705">
        <v>51.28</v>
      </c>
      <c r="D705">
        <v>40</v>
      </c>
      <c r="E705">
        <v>1.282</v>
      </c>
      <c r="F705">
        <v>0.05440717628705148</v>
      </c>
      <c r="G705">
        <v>-0.04847019803355079</v>
      </c>
      <c r="H705">
        <v>0.03</v>
      </c>
      <c r="I705">
        <v>0.03372475755338433</v>
      </c>
      <c r="J705" t="s">
        <v>777</v>
      </c>
      <c r="K705" t="s">
        <v>514</v>
      </c>
      <c r="L705">
        <v>2.55</v>
      </c>
      <c r="M705">
        <v>2.79</v>
      </c>
      <c r="N705">
        <v>1.094117647058824</v>
      </c>
      <c r="O705">
        <v>12</v>
      </c>
      <c r="P705">
        <v>0.004968307109833203</v>
      </c>
      <c r="Q705">
        <v>0.288848148473699</v>
      </c>
      <c r="R705" t="s">
        <v>779</v>
      </c>
      <c r="S705" t="s">
        <v>783</v>
      </c>
      <c r="T705">
        <v>46635.69079</v>
      </c>
      <c r="U705" s="2">
        <v>44425</v>
      </c>
      <c r="V705" t="s">
        <v>804</v>
      </c>
    </row>
    <row r="706" spans="1:22">
      <c r="A706" s="1" t="s">
        <v>726</v>
      </c>
      <c r="B706">
        <f>HYPERLINK("https://www.suredividend.com/sure-analysis-SJT/","San Juan Basin Royalty Trust")</f>
        <v>0</v>
      </c>
      <c r="C706">
        <v>6.6</v>
      </c>
      <c r="D706">
        <v>5.45</v>
      </c>
      <c r="E706">
        <v>1.211009174311926</v>
      </c>
      <c r="F706">
        <v>0.103030303030303</v>
      </c>
      <c r="G706">
        <v>-0.03756698309844608</v>
      </c>
      <c r="H706">
        <v>-0.03</v>
      </c>
      <c r="I706">
        <v>0.03327809412459048</v>
      </c>
      <c r="J706" t="s">
        <v>777</v>
      </c>
      <c r="K706" t="s">
        <v>370</v>
      </c>
      <c r="L706">
        <v>0.68</v>
      </c>
      <c r="M706">
        <v>0.68</v>
      </c>
      <c r="N706">
        <v>1</v>
      </c>
      <c r="O706">
        <v>1</v>
      </c>
      <c r="P706">
        <v>-0.03131223109334913</v>
      </c>
      <c r="Q706">
        <v>1.385353095030514</v>
      </c>
      <c r="R706" t="s">
        <v>779</v>
      </c>
      <c r="S706" t="s">
        <v>792</v>
      </c>
      <c r="T706">
        <v>318.804165</v>
      </c>
      <c r="U706" s="2">
        <v>44473</v>
      </c>
      <c r="V706" t="s">
        <v>802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14.35</v>
      </c>
      <c r="D707">
        <v>11.5</v>
      </c>
      <c r="E707">
        <v>1.247826086956522</v>
      </c>
      <c r="F707">
        <v>0.07526132404181185</v>
      </c>
      <c r="G707">
        <v>-0.04331450831176031</v>
      </c>
      <c r="H707">
        <v>0</v>
      </c>
      <c r="I707">
        <v>0.03325367996256579</v>
      </c>
      <c r="J707" t="s">
        <v>777</v>
      </c>
      <c r="K707" t="s">
        <v>370</v>
      </c>
      <c r="L707">
        <v>1.15</v>
      </c>
      <c r="M707">
        <v>1.08</v>
      </c>
      <c r="N707">
        <v>0.9391304347826088</v>
      </c>
      <c r="O707">
        <v>0</v>
      </c>
      <c r="P707">
        <v>0</v>
      </c>
      <c r="Q707">
        <v>0.7472300738249421</v>
      </c>
      <c r="R707" t="s">
        <v>782</v>
      </c>
      <c r="S707" t="s">
        <v>790</v>
      </c>
      <c r="T707">
        <v>285.469944</v>
      </c>
      <c r="U707" s="2">
        <v>44435</v>
      </c>
      <c r="V707" t="s">
        <v>798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4.38</v>
      </c>
      <c r="D708">
        <v>3.4</v>
      </c>
      <c r="E708">
        <v>1.288235294117647</v>
      </c>
      <c r="F708">
        <v>0.0958904109589041</v>
      </c>
      <c r="G708">
        <v>-0.04939310218469339</v>
      </c>
      <c r="H708">
        <v>0</v>
      </c>
      <c r="I708">
        <v>0.03318683900683039</v>
      </c>
      <c r="J708" t="s">
        <v>777</v>
      </c>
      <c r="K708" t="s">
        <v>370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0.792233654165283</v>
      </c>
      <c r="R708" t="s">
        <v>782</v>
      </c>
      <c r="S708" t="s">
        <v>790</v>
      </c>
      <c r="T708">
        <v>214.510788</v>
      </c>
      <c r="U708" s="2">
        <v>44502</v>
      </c>
      <c r="V708" t="s">
        <v>794</v>
      </c>
    </row>
    <row r="709" spans="1:22">
      <c r="A709" s="1" t="s">
        <v>729</v>
      </c>
      <c r="B709">
        <f>HYPERLINK("https://www.suredividend.com/sure-analysis-PBA/","Pembina Pipeline Corporation")</f>
        <v>0</v>
      </c>
      <c r="C709">
        <v>33.41</v>
      </c>
      <c r="D709">
        <v>24</v>
      </c>
      <c r="E709">
        <v>1.392083333333333</v>
      </c>
      <c r="F709">
        <v>0.05926369350493865</v>
      </c>
      <c r="G709">
        <v>-0.06401917161048076</v>
      </c>
      <c r="H709">
        <v>0.04</v>
      </c>
      <c r="I709">
        <v>0.03226768123713297</v>
      </c>
      <c r="J709" t="s">
        <v>777</v>
      </c>
      <c r="K709" t="s">
        <v>370</v>
      </c>
      <c r="L709">
        <v>2</v>
      </c>
      <c r="M709">
        <v>1.98</v>
      </c>
      <c r="N709">
        <v>0.99</v>
      </c>
      <c r="O709">
        <v>5</v>
      </c>
      <c r="P709">
        <v>0.002012088709965276</v>
      </c>
      <c r="Q709">
        <v>0.6922600953676461</v>
      </c>
      <c r="R709" t="s">
        <v>779</v>
      </c>
      <c r="S709" t="s">
        <v>792</v>
      </c>
      <c r="T709">
        <v>18955.710589</v>
      </c>
      <c r="U709" s="2">
        <v>44442</v>
      </c>
      <c r="V709" t="s">
        <v>802</v>
      </c>
    </row>
    <row r="710" spans="1:22">
      <c r="A710" s="1" t="s">
        <v>730</v>
      </c>
      <c r="B710">
        <f>HYPERLINK("https://www.suredividend.com/sure-analysis-ARI/","Apollo Commercial Real Estate Finance Inc")</f>
        <v>0</v>
      </c>
      <c r="C710">
        <v>15.3</v>
      </c>
      <c r="D710">
        <v>11</v>
      </c>
      <c r="E710">
        <v>1.390909090909091</v>
      </c>
      <c r="F710">
        <v>0.0915032679738562</v>
      </c>
      <c r="G710">
        <v>-0.06386118897208415</v>
      </c>
      <c r="H710">
        <v>0.003</v>
      </c>
      <c r="I710">
        <v>0.03146081579265947</v>
      </c>
      <c r="J710" t="s">
        <v>777</v>
      </c>
      <c r="K710" t="s">
        <v>370</v>
      </c>
      <c r="L710">
        <v>1.38</v>
      </c>
      <c r="M710">
        <v>1.4</v>
      </c>
      <c r="N710">
        <v>1.014492753623188</v>
      </c>
      <c r="O710">
        <v>0</v>
      </c>
      <c r="P710">
        <v>-0.01471229526229867</v>
      </c>
      <c r="Q710">
        <v>0.7085615833186071</v>
      </c>
      <c r="R710" t="s">
        <v>781</v>
      </c>
      <c r="S710" t="s">
        <v>793</v>
      </c>
      <c r="T710">
        <v>2164.161108</v>
      </c>
      <c r="U710" s="2">
        <v>44503</v>
      </c>
      <c r="V710" t="s">
        <v>803</v>
      </c>
    </row>
    <row r="711" spans="1:22">
      <c r="A711" s="1" t="s">
        <v>731</v>
      </c>
      <c r="B711">
        <f>HYPERLINK("https://www.suredividend.com/sure-analysis-MAIN/","Main Street Capital Corporation")</f>
        <v>0</v>
      </c>
      <c r="C711">
        <v>45.59</v>
      </c>
      <c r="D711">
        <v>35</v>
      </c>
      <c r="E711">
        <v>1.302571428571429</v>
      </c>
      <c r="F711">
        <v>0.05527527966659355</v>
      </c>
      <c r="G711">
        <v>-0.05149485621375549</v>
      </c>
      <c r="H711">
        <v>0.025</v>
      </c>
      <c r="I711">
        <v>0.02896646003273795</v>
      </c>
      <c r="J711" t="s">
        <v>777</v>
      </c>
      <c r="K711" t="s">
        <v>514</v>
      </c>
      <c r="L711">
        <v>2.33</v>
      </c>
      <c r="M711">
        <v>2.52</v>
      </c>
      <c r="N711">
        <v>1.081545064377682</v>
      </c>
      <c r="O711">
        <v>6</v>
      </c>
      <c r="P711">
        <v>0.01011092110060052</v>
      </c>
      <c r="Q711">
        <v>0.631802299227999</v>
      </c>
      <c r="R711" t="s">
        <v>782</v>
      </c>
      <c r="S711" t="s">
        <v>790</v>
      </c>
      <c r="T711">
        <v>3181.343493</v>
      </c>
      <c r="U711" s="2">
        <v>44417</v>
      </c>
      <c r="V711" t="s">
        <v>801</v>
      </c>
    </row>
    <row r="712" spans="1:22">
      <c r="A712" s="1" t="s">
        <v>732</v>
      </c>
      <c r="B712">
        <f>HYPERLINK("https://www.suredividend.com/sure-analysis-CIM/","Chimera Investment Corp")</f>
        <v>0</v>
      </c>
      <c r="C712">
        <v>16.52</v>
      </c>
      <c r="D712">
        <v>11</v>
      </c>
      <c r="E712">
        <v>1.501818181818182</v>
      </c>
      <c r="F712">
        <v>0.07808716707021793</v>
      </c>
      <c r="G712">
        <v>-0.07811546739901865</v>
      </c>
      <c r="H712">
        <v>0.02</v>
      </c>
      <c r="I712">
        <v>0.02815066574346159</v>
      </c>
      <c r="J712" t="s">
        <v>777</v>
      </c>
      <c r="K712" t="s">
        <v>370</v>
      </c>
      <c r="L712">
        <v>1.4</v>
      </c>
      <c r="M712">
        <v>1.29</v>
      </c>
      <c r="N712">
        <v>0.9214285714285715</v>
      </c>
      <c r="O712">
        <v>0</v>
      </c>
      <c r="P712">
        <v>0.01938849279650956</v>
      </c>
      <c r="Q712">
        <v>0.9392100810921181</v>
      </c>
      <c r="R712" t="s">
        <v>779</v>
      </c>
      <c r="S712" t="s">
        <v>793</v>
      </c>
      <c r="T712">
        <v>3937.023864</v>
      </c>
      <c r="U712" s="2">
        <v>44439</v>
      </c>
      <c r="V712" t="s">
        <v>802</v>
      </c>
    </row>
    <row r="713" spans="1:22">
      <c r="A713" s="1" t="s">
        <v>733</v>
      </c>
      <c r="B713">
        <f>HYPERLINK("https://www.suredividend.com/sure-analysis-BKR/","Baker Hughes Co")</f>
        <v>0</v>
      </c>
      <c r="C713">
        <v>24.08</v>
      </c>
      <c r="D713">
        <v>13</v>
      </c>
      <c r="E713">
        <v>1.852307692307692</v>
      </c>
      <c r="F713">
        <v>0.02990033222591362</v>
      </c>
      <c r="G713">
        <v>-0.1159896007850029</v>
      </c>
      <c r="H713">
        <v>0.13</v>
      </c>
      <c r="I713">
        <v>0.0273022732838617</v>
      </c>
      <c r="J713" t="s">
        <v>777</v>
      </c>
      <c r="K713" t="s">
        <v>777</v>
      </c>
      <c r="L713">
        <v>0.75</v>
      </c>
      <c r="M713">
        <v>0.72</v>
      </c>
      <c r="N713">
        <v>0.96</v>
      </c>
      <c r="O713">
        <v>0</v>
      </c>
      <c r="P713">
        <v>0</v>
      </c>
      <c r="Q713">
        <v>0.4757045788871501</v>
      </c>
      <c r="R713" t="s">
        <v>779</v>
      </c>
      <c r="S713" t="s">
        <v>792</v>
      </c>
      <c r="T713">
        <v>26170.8672</v>
      </c>
      <c r="U713" s="2">
        <v>44491</v>
      </c>
      <c r="V713" t="s">
        <v>802</v>
      </c>
    </row>
    <row r="714" spans="1:22">
      <c r="A714" s="1" t="s">
        <v>734</v>
      </c>
      <c r="B714">
        <f>HYPERLINK("https://www.suredividend.com/sure-analysis-IRT/","Independence Realty Trust Inc")</f>
        <v>0</v>
      </c>
      <c r="C714">
        <v>24.68</v>
      </c>
      <c r="D714">
        <v>18.7</v>
      </c>
      <c r="E714">
        <v>1.319786096256685</v>
      </c>
      <c r="F714">
        <v>0.01944894651539708</v>
      </c>
      <c r="G714">
        <v>-0.05398223878266462</v>
      </c>
      <c r="H714">
        <v>0.059</v>
      </c>
      <c r="I714">
        <v>0.02703836160222384</v>
      </c>
      <c r="J714" t="s">
        <v>777</v>
      </c>
      <c r="K714" t="s">
        <v>777</v>
      </c>
      <c r="L714">
        <v>0.79</v>
      </c>
      <c r="M714">
        <v>0.48</v>
      </c>
      <c r="N714">
        <v>0.6075949367088607</v>
      </c>
      <c r="O714">
        <v>0</v>
      </c>
      <c r="P714">
        <v>0.1075663432482901</v>
      </c>
      <c r="Q714">
        <v>0.947116906133299</v>
      </c>
      <c r="R714" t="s">
        <v>781</v>
      </c>
      <c r="S714" t="s">
        <v>793</v>
      </c>
      <c r="T714">
        <v>2586.804917</v>
      </c>
      <c r="U714" s="2">
        <v>44503</v>
      </c>
      <c r="V714" t="s">
        <v>803</v>
      </c>
    </row>
    <row r="715" spans="1:22">
      <c r="A715" s="1" t="s">
        <v>735</v>
      </c>
      <c r="B715">
        <f>HYPERLINK("https://www.suredividend.com/sure-analysis-IRM/","Iron Mountain Inc.")</f>
        <v>0</v>
      </c>
      <c r="C715">
        <v>47.41</v>
      </c>
      <c r="D715">
        <v>37</v>
      </c>
      <c r="E715">
        <v>1.281351351351351</v>
      </c>
      <c r="F715">
        <v>0.05209871335161359</v>
      </c>
      <c r="G715">
        <v>-0.04837388041081603</v>
      </c>
      <c r="H715">
        <v>0.02</v>
      </c>
      <c r="I715">
        <v>0.02480218226774</v>
      </c>
      <c r="J715" t="s">
        <v>777</v>
      </c>
      <c r="K715" t="s">
        <v>370</v>
      </c>
      <c r="L715">
        <v>3.39</v>
      </c>
      <c r="M715">
        <v>2.47</v>
      </c>
      <c r="N715">
        <v>0.728613569321534</v>
      </c>
      <c r="O715">
        <v>10</v>
      </c>
      <c r="P715">
        <v>0.01031145931793609</v>
      </c>
      <c r="Q715">
        <v>0.9034893303782171</v>
      </c>
      <c r="R715" t="s">
        <v>781</v>
      </c>
      <c r="S715" t="s">
        <v>793</v>
      </c>
      <c r="T715">
        <v>13776.765115</v>
      </c>
      <c r="U715" s="2">
        <v>44433</v>
      </c>
      <c r="V715" t="s">
        <v>797</v>
      </c>
    </row>
    <row r="716" spans="1:22">
      <c r="A716" s="1" t="s">
        <v>736</v>
      </c>
      <c r="B716">
        <f>HYPERLINK("https://www.suredividend.com/sure-analysis-EQR/","Equity Residential Properties Trust")</f>
        <v>0</v>
      </c>
      <c r="C716">
        <v>85.48999999999999</v>
      </c>
      <c r="D716">
        <v>65</v>
      </c>
      <c r="E716">
        <v>1.315230769230769</v>
      </c>
      <c r="F716">
        <v>0.02830740437478068</v>
      </c>
      <c r="G716">
        <v>-0.05332783463574953</v>
      </c>
      <c r="H716">
        <v>0.048</v>
      </c>
      <c r="I716">
        <v>0.02337846057401372</v>
      </c>
      <c r="J716" t="s">
        <v>777</v>
      </c>
      <c r="K716" t="s">
        <v>777</v>
      </c>
      <c r="L716">
        <v>2.95</v>
      </c>
      <c r="M716">
        <v>2.42</v>
      </c>
      <c r="N716">
        <v>0.8203389830508474</v>
      </c>
      <c r="O716">
        <v>1</v>
      </c>
      <c r="P716">
        <v>0.04390548076893097</v>
      </c>
      <c r="Q716">
        <v>0.4945372447893581</v>
      </c>
      <c r="R716" t="s">
        <v>781</v>
      </c>
      <c r="S716" t="s">
        <v>793</v>
      </c>
      <c r="T716">
        <v>32123.889577</v>
      </c>
      <c r="U716" s="2">
        <v>44496</v>
      </c>
      <c r="V716" t="s">
        <v>803</v>
      </c>
    </row>
    <row r="717" spans="1:22">
      <c r="A717" s="1" t="s">
        <v>737</v>
      </c>
      <c r="B717">
        <f>HYPERLINK("https://www.suredividend.com/sure-analysis-LADR/","Ladder Capital Corp")</f>
        <v>0</v>
      </c>
      <c r="C717">
        <v>12.19</v>
      </c>
      <c r="D717">
        <v>8.5</v>
      </c>
      <c r="E717">
        <v>1.434117647058823</v>
      </c>
      <c r="F717">
        <v>0.06562756357670223</v>
      </c>
      <c r="G717">
        <v>-0.06957141601839611</v>
      </c>
      <c r="H717">
        <v>0.02</v>
      </c>
      <c r="I717">
        <v>0.02068361123189821</v>
      </c>
      <c r="J717" t="s">
        <v>777</v>
      </c>
      <c r="K717" t="s">
        <v>514</v>
      </c>
      <c r="L717">
        <v>0.4</v>
      </c>
      <c r="M717">
        <v>0.8</v>
      </c>
      <c r="N717">
        <v>2</v>
      </c>
      <c r="O717">
        <v>0</v>
      </c>
      <c r="P717">
        <v>0.009805797673485328</v>
      </c>
      <c r="Q717">
        <v>0.531819035104186</v>
      </c>
      <c r="R717" t="s">
        <v>781</v>
      </c>
      <c r="S717" t="s">
        <v>793</v>
      </c>
      <c r="T717">
        <v>1535.643472</v>
      </c>
      <c r="U717" s="2">
        <v>44418</v>
      </c>
      <c r="V717" t="s">
        <v>801</v>
      </c>
    </row>
    <row r="718" spans="1:22">
      <c r="A718" s="1" t="s">
        <v>738</v>
      </c>
      <c r="B718">
        <f>HYPERLINK("https://www.suredividend.com/sure-analysis-STAG/","STAG Industrial Inc")</f>
        <v>0</v>
      </c>
      <c r="C718">
        <v>42.4</v>
      </c>
      <c r="D718">
        <v>31</v>
      </c>
      <c r="E718">
        <v>1.367741935483871</v>
      </c>
      <c r="F718">
        <v>0.03419811320754717</v>
      </c>
      <c r="G718">
        <v>-0.06071114901988728</v>
      </c>
      <c r="H718">
        <v>0.05</v>
      </c>
      <c r="I718">
        <v>0.02065728051223981</v>
      </c>
      <c r="J718" t="s">
        <v>777</v>
      </c>
      <c r="K718" t="s">
        <v>514</v>
      </c>
      <c r="L718">
        <v>2.04</v>
      </c>
      <c r="M718">
        <v>1.45</v>
      </c>
      <c r="N718">
        <v>0.7107843137254901</v>
      </c>
      <c r="O718">
        <v>10</v>
      </c>
      <c r="P718">
        <v>0.006803348678863008</v>
      </c>
      <c r="Q718">
        <v>0.4405202880360281</v>
      </c>
      <c r="R718" t="s">
        <v>781</v>
      </c>
      <c r="S718" t="s">
        <v>793</v>
      </c>
      <c r="T718">
        <v>7189.812988</v>
      </c>
      <c r="U718" s="2">
        <v>44428</v>
      </c>
      <c r="V718" t="s">
        <v>802</v>
      </c>
    </row>
    <row r="719" spans="1:22">
      <c r="A719" s="1" t="s">
        <v>739</v>
      </c>
      <c r="B719">
        <f>HYPERLINK("https://www.suredividend.com/sure-analysis-PRT/","PermRock Royalty Trust")</f>
        <v>0</v>
      </c>
      <c r="C719">
        <v>6.95</v>
      </c>
      <c r="D719">
        <v>3.75</v>
      </c>
      <c r="E719">
        <v>1.853333333333333</v>
      </c>
      <c r="F719">
        <v>0.07194244604316546</v>
      </c>
      <c r="G719">
        <v>-0.1160874653284418</v>
      </c>
      <c r="H719">
        <v>0.05</v>
      </c>
      <c r="I719">
        <v>0.02050156513826629</v>
      </c>
      <c r="J719" t="s">
        <v>777</v>
      </c>
      <c r="K719" t="s">
        <v>370</v>
      </c>
      <c r="L719">
        <v>0.5</v>
      </c>
      <c r="M719">
        <v>0.5</v>
      </c>
      <c r="N719">
        <v>1</v>
      </c>
      <c r="O719">
        <v>0</v>
      </c>
      <c r="P719">
        <v>0.05061112176150684</v>
      </c>
      <c r="Q719">
        <v>2.976640711902113</v>
      </c>
      <c r="R719" t="s">
        <v>779</v>
      </c>
      <c r="S719" t="s">
        <v>792</v>
      </c>
      <c r="T719">
        <v>86.984984</v>
      </c>
      <c r="U719" s="2">
        <v>44439</v>
      </c>
      <c r="V719" t="s">
        <v>801</v>
      </c>
    </row>
    <row r="720" spans="1:22">
      <c r="A720" s="1" t="s">
        <v>740</v>
      </c>
      <c r="B720">
        <f>HYPERLINK("https://www.suredividend.com/sure-analysis-BXMT/","Blackstone Mortgage Trust Inc")</f>
        <v>0</v>
      </c>
      <c r="C720">
        <v>33.63</v>
      </c>
      <c r="D720">
        <v>24.3</v>
      </c>
      <c r="E720">
        <v>1.383950617283951</v>
      </c>
      <c r="F720">
        <v>0.07374368123699078</v>
      </c>
      <c r="G720">
        <v>-0.06292169945074633</v>
      </c>
      <c r="H720">
        <v>0.004</v>
      </c>
      <c r="I720">
        <v>0.02032760584237803</v>
      </c>
      <c r="J720" t="s">
        <v>777</v>
      </c>
      <c r="K720" t="s">
        <v>370</v>
      </c>
      <c r="L720">
        <v>2.43</v>
      </c>
      <c r="M720">
        <v>2.48</v>
      </c>
      <c r="N720">
        <v>1.020576131687243</v>
      </c>
      <c r="O720">
        <v>0</v>
      </c>
      <c r="P720">
        <v>0</v>
      </c>
      <c r="Q720">
        <v>0.480738521636994</v>
      </c>
      <c r="R720" t="s">
        <v>781</v>
      </c>
      <c r="S720" t="s">
        <v>793</v>
      </c>
      <c r="T720">
        <v>5287.344811</v>
      </c>
      <c r="U720" s="2">
        <v>44503</v>
      </c>
      <c r="V720" t="s">
        <v>803</v>
      </c>
    </row>
    <row r="721" spans="1:22">
      <c r="A721" s="1" t="s">
        <v>741</v>
      </c>
      <c r="B721">
        <f>HYPERLINK("https://www.suredividend.com/sure-analysis-OLP/","One Liberty Properties, Inc.")</f>
        <v>0</v>
      </c>
      <c r="C721">
        <v>33.58</v>
      </c>
      <c r="D721">
        <v>24</v>
      </c>
      <c r="E721">
        <v>1.399166666666667</v>
      </c>
      <c r="F721">
        <v>0.05360333531864205</v>
      </c>
      <c r="G721">
        <v>-0.06496878409891993</v>
      </c>
      <c r="H721">
        <v>0.03</v>
      </c>
      <c r="I721">
        <v>0.02008685659997278</v>
      </c>
      <c r="J721" t="s">
        <v>777</v>
      </c>
      <c r="K721" t="s">
        <v>370</v>
      </c>
      <c r="L721">
        <v>1.92</v>
      </c>
      <c r="M721">
        <v>1.8</v>
      </c>
      <c r="N721">
        <v>0.9375000000000001</v>
      </c>
      <c r="O721">
        <v>0</v>
      </c>
      <c r="P721">
        <v>0.009805797673485328</v>
      </c>
      <c r="Q721">
        <v>1.320136518771331</v>
      </c>
      <c r="R721" t="s">
        <v>781</v>
      </c>
      <c r="S721" t="s">
        <v>793</v>
      </c>
      <c r="T721">
        <v>710.77111</v>
      </c>
      <c r="U721" s="2">
        <v>44430</v>
      </c>
      <c r="V721" t="s">
        <v>801</v>
      </c>
    </row>
    <row r="722" spans="1:22">
      <c r="A722" s="1" t="s">
        <v>742</v>
      </c>
      <c r="B722">
        <f>HYPERLINK("https://www.suredividend.com/sure-analysis-SBR/","Sabine Royalty Trust")</f>
        <v>0</v>
      </c>
      <c r="C722">
        <v>44.18</v>
      </c>
      <c r="D722">
        <v>30</v>
      </c>
      <c r="E722">
        <v>1.472666666666667</v>
      </c>
      <c r="F722">
        <v>0.06677229515617927</v>
      </c>
      <c r="G722">
        <v>-0.07449427696552879</v>
      </c>
      <c r="H722">
        <v>0.02</v>
      </c>
      <c r="I722">
        <v>0.0200491193518908</v>
      </c>
      <c r="J722" t="s">
        <v>777</v>
      </c>
      <c r="K722" t="s">
        <v>370</v>
      </c>
      <c r="L722">
        <v>2.95</v>
      </c>
      <c r="M722">
        <v>2.95</v>
      </c>
      <c r="N722">
        <v>1</v>
      </c>
      <c r="O722">
        <v>0</v>
      </c>
      <c r="P722">
        <v>0.02018543011640217</v>
      </c>
      <c r="Q722">
        <v>0.7113690952762211</v>
      </c>
      <c r="R722" t="s">
        <v>779</v>
      </c>
      <c r="S722" t="s">
        <v>792</v>
      </c>
      <c r="T722">
        <v>648.197679</v>
      </c>
      <c r="U722" s="2">
        <v>44438</v>
      </c>
      <c r="V722" t="s">
        <v>802</v>
      </c>
    </row>
    <row r="723" spans="1:22">
      <c r="A723" s="1" t="s">
        <v>743</v>
      </c>
      <c r="B723">
        <f>HYPERLINK("https://www.suredividend.com/sure-analysis-SJR/","Shaw Communications Inc.")</f>
        <v>0</v>
      </c>
      <c r="C723">
        <v>29.27</v>
      </c>
      <c r="D723">
        <v>22</v>
      </c>
      <c r="E723">
        <v>1.330454545454545</v>
      </c>
      <c r="F723">
        <v>0.03211479330372395</v>
      </c>
      <c r="G723">
        <v>-0.0555042855915171</v>
      </c>
      <c r="H723">
        <v>0.045</v>
      </c>
      <c r="I723">
        <v>0.01986154409622287</v>
      </c>
      <c r="J723" t="s">
        <v>777</v>
      </c>
      <c r="K723" t="s">
        <v>514</v>
      </c>
      <c r="L723">
        <v>1.3</v>
      </c>
      <c r="M723">
        <v>0.9399999999999999</v>
      </c>
      <c r="N723">
        <v>0.7230769230769231</v>
      </c>
      <c r="O723">
        <v>0</v>
      </c>
      <c r="P723">
        <v>0.01245196889366262</v>
      </c>
      <c r="Q723">
        <v>0.7556806684679751</v>
      </c>
      <c r="R723" t="s">
        <v>779</v>
      </c>
      <c r="S723" t="s">
        <v>783</v>
      </c>
      <c r="T723">
        <v>14058.981823</v>
      </c>
      <c r="U723" s="2">
        <v>44396</v>
      </c>
      <c r="V723" t="s">
        <v>801</v>
      </c>
    </row>
    <row r="724" spans="1:22">
      <c r="A724" s="1" t="s">
        <v>744</v>
      </c>
      <c r="B724">
        <f>HYPERLINK("https://www.suredividend.com/sure-analysis-PEAK/","Healthpeak Properties Inc")</f>
        <v>0</v>
      </c>
      <c r="C724">
        <v>33.99</v>
      </c>
      <c r="D724">
        <v>24</v>
      </c>
      <c r="E724">
        <v>1.41625</v>
      </c>
      <c r="F724">
        <v>0.0353045013239188</v>
      </c>
      <c r="G724">
        <v>-0.06723548610227204</v>
      </c>
      <c r="H724">
        <v>0.05</v>
      </c>
      <c r="I724">
        <v>0.01831321111152961</v>
      </c>
      <c r="J724" t="s">
        <v>777</v>
      </c>
      <c r="K724" t="s">
        <v>514</v>
      </c>
      <c r="L724">
        <v>1.58</v>
      </c>
      <c r="M724">
        <v>1.2</v>
      </c>
      <c r="N724">
        <v>0.7594936708860759</v>
      </c>
      <c r="O724">
        <v>0</v>
      </c>
      <c r="P724">
        <v>0.03131030647754507</v>
      </c>
      <c r="Q724">
        <v>0.225423019776986</v>
      </c>
      <c r="R724" t="s">
        <v>781</v>
      </c>
      <c r="S724" t="s">
        <v>793</v>
      </c>
      <c r="T724">
        <v>18317.674138</v>
      </c>
      <c r="U724" s="2">
        <v>44434</v>
      </c>
      <c r="V724" t="s">
        <v>802</v>
      </c>
    </row>
    <row r="725" spans="1:22">
      <c r="A725" s="1" t="s">
        <v>745</v>
      </c>
      <c r="B725">
        <f>HYPERLINK("https://www.suredividend.com/sure-analysis-PSEC/","Prospect Capital Corp")</f>
        <v>0</v>
      </c>
      <c r="C725">
        <v>8.859999999999999</v>
      </c>
      <c r="D725">
        <v>6.1</v>
      </c>
      <c r="E725">
        <v>1.452459016393443</v>
      </c>
      <c r="F725">
        <v>0.08126410835214447</v>
      </c>
      <c r="G725">
        <v>-0.07193323031028498</v>
      </c>
      <c r="H725">
        <v>0</v>
      </c>
      <c r="I725">
        <v>0.01828091110979635</v>
      </c>
      <c r="J725" t="s">
        <v>777</v>
      </c>
      <c r="K725" t="s">
        <v>370</v>
      </c>
      <c r="L725">
        <v>0.72</v>
      </c>
      <c r="M725">
        <v>0.72</v>
      </c>
      <c r="N725">
        <v>1</v>
      </c>
      <c r="O725">
        <v>0</v>
      </c>
      <c r="P725">
        <v>0</v>
      </c>
      <c r="Q725">
        <v>0.9434590524276911</v>
      </c>
      <c r="R725" t="s">
        <v>782</v>
      </c>
      <c r="S725" t="s">
        <v>790</v>
      </c>
      <c r="T725">
        <v>3481.507845</v>
      </c>
      <c r="U725" s="2">
        <v>44444</v>
      </c>
      <c r="V725" t="s">
        <v>798</v>
      </c>
    </row>
    <row r="726" spans="1:22">
      <c r="A726" s="1" t="s">
        <v>746</v>
      </c>
      <c r="B726">
        <f>HYPERLINK("https://www.suredividend.com/sure-analysis-UDR/","UDR Inc")</f>
        <v>0</v>
      </c>
      <c r="C726">
        <v>55.45</v>
      </c>
      <c r="D726">
        <v>40</v>
      </c>
      <c r="E726">
        <v>1.38625</v>
      </c>
      <c r="F726">
        <v>0.02614968440036068</v>
      </c>
      <c r="G726">
        <v>-0.06323277359752644</v>
      </c>
      <c r="H726">
        <v>0.055</v>
      </c>
      <c r="I726">
        <v>0.01822169370415749</v>
      </c>
      <c r="J726" t="s">
        <v>777</v>
      </c>
      <c r="K726" t="s">
        <v>777</v>
      </c>
      <c r="L726">
        <v>1.81</v>
      </c>
      <c r="M726">
        <v>1.45</v>
      </c>
      <c r="N726">
        <v>0.8011049723756906</v>
      </c>
      <c r="O726">
        <v>11</v>
      </c>
      <c r="P726">
        <v>0.0499309672496191</v>
      </c>
      <c r="Q726">
        <v>0.4939708185996931</v>
      </c>
      <c r="R726" t="s">
        <v>781</v>
      </c>
      <c r="S726" t="s">
        <v>793</v>
      </c>
      <c r="T726">
        <v>17073.271848</v>
      </c>
      <c r="U726" s="2">
        <v>44406</v>
      </c>
      <c r="V726" t="s">
        <v>801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13.88</v>
      </c>
      <c r="D727">
        <v>9</v>
      </c>
      <c r="E727">
        <v>1.542222222222222</v>
      </c>
      <c r="F727">
        <v>0.07204610951008646</v>
      </c>
      <c r="G727">
        <v>-0.08299731210658257</v>
      </c>
      <c r="H727">
        <v>0.01</v>
      </c>
      <c r="I727">
        <v>0.01027810451405853</v>
      </c>
      <c r="J727" t="s">
        <v>777</v>
      </c>
      <c r="K727" t="s">
        <v>370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1.02391904323827</v>
      </c>
      <c r="R727" t="s">
        <v>779</v>
      </c>
      <c r="S727" t="s">
        <v>792</v>
      </c>
      <c r="T727">
        <v>83.16</v>
      </c>
      <c r="U727" s="2">
        <v>44438</v>
      </c>
      <c r="V727" t="s">
        <v>802</v>
      </c>
    </row>
    <row r="728" spans="1:22">
      <c r="A728" s="1" t="s">
        <v>748</v>
      </c>
      <c r="B728">
        <f>HYPERLINK("https://www.suredividend.com/sure-analysis-DRETF/","Dream Office Real Estate Investment Trust")</f>
        <v>0</v>
      </c>
      <c r="C728">
        <v>19.25</v>
      </c>
      <c r="D728">
        <v>11</v>
      </c>
      <c r="E728">
        <v>1.75</v>
      </c>
      <c r="F728">
        <v>0.04311688311688312</v>
      </c>
      <c r="G728">
        <v>-0.1058870393420188</v>
      </c>
      <c r="H728">
        <v>0.075</v>
      </c>
      <c r="I728">
        <v>0.006172480661193802</v>
      </c>
      <c r="J728" t="s">
        <v>777</v>
      </c>
      <c r="K728" t="s">
        <v>514</v>
      </c>
      <c r="L728">
        <v>1.22</v>
      </c>
      <c r="M728">
        <v>0.83</v>
      </c>
      <c r="N728">
        <v>0.680327868852459</v>
      </c>
      <c r="O728">
        <v>0</v>
      </c>
      <c r="P728">
        <v>-0.00733575565369482</v>
      </c>
      <c r="Q728">
        <v>0.231842324182504</v>
      </c>
      <c r="R728" t="s">
        <v>779</v>
      </c>
      <c r="S728" t="s">
        <v>790</v>
      </c>
      <c r="T728">
        <v>956.739053</v>
      </c>
      <c r="U728" s="2">
        <v>44421</v>
      </c>
      <c r="V728" t="s">
        <v>803</v>
      </c>
    </row>
    <row r="729" spans="1:22">
      <c r="A729" s="1" t="s">
        <v>749</v>
      </c>
      <c r="B729">
        <f>HYPERLINK("https://www.suredividend.com/sure-analysis-GLAD/","Gladstone Capital Corp.")</f>
        <v>0</v>
      </c>
      <c r="C729">
        <v>11.74</v>
      </c>
      <c r="D729">
        <v>8</v>
      </c>
      <c r="E729">
        <v>1.4675</v>
      </c>
      <c r="F729">
        <v>0.06643952299829642</v>
      </c>
      <c r="G729">
        <v>-0.07384350222977798</v>
      </c>
      <c r="H729">
        <v>0</v>
      </c>
      <c r="I729">
        <v>0.002710985236047403</v>
      </c>
      <c r="J729" t="s">
        <v>777</v>
      </c>
      <c r="K729" t="s">
        <v>370</v>
      </c>
      <c r="L729">
        <v>0.8</v>
      </c>
      <c r="M729">
        <v>0.78</v>
      </c>
      <c r="N729">
        <v>0.975</v>
      </c>
      <c r="O729">
        <v>0</v>
      </c>
      <c r="P729">
        <v>0</v>
      </c>
      <c r="Q729">
        <v>0.643080881530372</v>
      </c>
      <c r="R729" t="s">
        <v>779</v>
      </c>
      <c r="S729" t="s">
        <v>790</v>
      </c>
      <c r="T729">
        <v>403.076359</v>
      </c>
      <c r="U729" s="2">
        <v>44424</v>
      </c>
      <c r="V729" t="s">
        <v>798</v>
      </c>
    </row>
    <row r="730" spans="1:22">
      <c r="A730" s="1" t="s">
        <v>750</v>
      </c>
      <c r="B730">
        <f>HYPERLINK("https://www.suredividend.com/sure-analysis-MNR/","Monmouth Real Estate Investment Corp.")</f>
        <v>0</v>
      </c>
      <c r="C730">
        <v>21.04</v>
      </c>
      <c r="D730">
        <v>15</v>
      </c>
      <c r="E730">
        <v>1.402666666666667</v>
      </c>
      <c r="F730">
        <v>0.03422053231939164</v>
      </c>
      <c r="G730">
        <v>-0.06543587733210099</v>
      </c>
      <c r="H730">
        <v>0.03</v>
      </c>
      <c r="I730">
        <v>0.001483364717146385</v>
      </c>
      <c r="J730" t="s">
        <v>777</v>
      </c>
      <c r="K730" t="s">
        <v>514</v>
      </c>
      <c r="L730">
        <v>0.75</v>
      </c>
      <c r="M730">
        <v>0.72</v>
      </c>
      <c r="N730">
        <v>0.96</v>
      </c>
      <c r="O730">
        <v>1</v>
      </c>
      <c r="P730">
        <v>0.01872958559274807</v>
      </c>
      <c r="Q730">
        <v>0.5272716714333411</v>
      </c>
      <c r="R730" t="s">
        <v>781</v>
      </c>
      <c r="S730" t="s">
        <v>793</v>
      </c>
      <c r="T730">
        <v>2068.278435</v>
      </c>
      <c r="U730" s="2">
        <v>44426</v>
      </c>
      <c r="V730" t="s">
        <v>794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21.04</v>
      </c>
      <c r="D731">
        <v>14</v>
      </c>
      <c r="E731">
        <v>1.502857142857143</v>
      </c>
      <c r="F731">
        <v>0.04372623574144487</v>
      </c>
      <c r="G731">
        <v>-0.07824296682061749</v>
      </c>
      <c r="H731">
        <v>0.018</v>
      </c>
      <c r="I731">
        <v>-0.005834559167535835</v>
      </c>
      <c r="J731" t="s">
        <v>777</v>
      </c>
      <c r="K731" t="s">
        <v>370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0.9591706956692501</v>
      </c>
      <c r="R731" t="s">
        <v>781</v>
      </c>
      <c r="S731" t="s">
        <v>793</v>
      </c>
      <c r="T731">
        <v>818.000844</v>
      </c>
      <c r="U731" s="2">
        <v>44452</v>
      </c>
      <c r="V731" t="s">
        <v>803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16.39</v>
      </c>
      <c r="D732">
        <v>10</v>
      </c>
      <c r="E732">
        <v>1.639</v>
      </c>
      <c r="F732">
        <v>0.05125076266015863</v>
      </c>
      <c r="G732">
        <v>-0.09409176138674491</v>
      </c>
      <c r="H732">
        <v>0.03</v>
      </c>
      <c r="I732">
        <v>-0.005902128454084443</v>
      </c>
      <c r="J732" t="s">
        <v>777</v>
      </c>
      <c r="K732" t="s">
        <v>514</v>
      </c>
      <c r="L732">
        <v>0.8</v>
      </c>
      <c r="M732">
        <v>0.84</v>
      </c>
      <c r="N732">
        <v>1.05</v>
      </c>
      <c r="O732">
        <v>9</v>
      </c>
      <c r="P732">
        <v>0.009347419909568888</v>
      </c>
      <c r="Q732">
        <v>0.9505836345322031</v>
      </c>
      <c r="R732" t="s">
        <v>782</v>
      </c>
      <c r="S732" t="s">
        <v>790</v>
      </c>
      <c r="T732">
        <v>546.554679</v>
      </c>
      <c r="U732" s="2">
        <v>44433</v>
      </c>
      <c r="V732" t="s">
        <v>797</v>
      </c>
    </row>
    <row r="733" spans="1:22">
      <c r="A733" s="1" t="s">
        <v>753</v>
      </c>
      <c r="B733">
        <f>HYPERLINK("https://www.suredividend.com/sure-analysis-MPC/","Marathon Petroleum Corp")</f>
        <v>0</v>
      </c>
      <c r="C733">
        <v>65.52</v>
      </c>
      <c r="D733">
        <v>49</v>
      </c>
      <c r="E733">
        <v>1.337142857142857</v>
      </c>
      <c r="F733">
        <v>0.03540903540903541</v>
      </c>
      <c r="G733">
        <v>-0.05645104439586213</v>
      </c>
      <c r="H733">
        <v>0.01</v>
      </c>
      <c r="I733">
        <v>-0.006377933214697484</v>
      </c>
      <c r="J733" t="s">
        <v>777</v>
      </c>
      <c r="K733" t="s">
        <v>514</v>
      </c>
      <c r="L733">
        <v>1.5</v>
      </c>
      <c r="M733">
        <v>2.32</v>
      </c>
      <c r="N733">
        <v>1.546666666666667</v>
      </c>
      <c r="O733">
        <v>9</v>
      </c>
      <c r="P733">
        <v>0.01013720758985226</v>
      </c>
      <c r="Q733">
        <v>0.9039704576846601</v>
      </c>
      <c r="R733" t="s">
        <v>779</v>
      </c>
      <c r="S733" t="s">
        <v>792</v>
      </c>
      <c r="T733">
        <v>41324.401026</v>
      </c>
      <c r="U733" s="2">
        <v>44504</v>
      </c>
      <c r="V733" t="s">
        <v>802</v>
      </c>
    </row>
    <row r="734" spans="1:22">
      <c r="A734" s="1" t="s">
        <v>754</v>
      </c>
      <c r="B734">
        <f>HYPERLINK("https://www.suredividend.com/sure-analysis-ABR/","Arbor Realty Trust Inc.")</f>
        <v>0</v>
      </c>
      <c r="C734">
        <v>19.68</v>
      </c>
      <c r="D734">
        <v>11.5</v>
      </c>
      <c r="E734">
        <v>1.711304347826087</v>
      </c>
      <c r="F734">
        <v>0.07317073170731707</v>
      </c>
      <c r="G734">
        <v>-0.1018796245254471</v>
      </c>
      <c r="H734">
        <v>0.008</v>
      </c>
      <c r="I734">
        <v>-0.006517655828014557</v>
      </c>
      <c r="J734" t="s">
        <v>777</v>
      </c>
      <c r="K734" t="s">
        <v>370</v>
      </c>
      <c r="L734">
        <v>1.6</v>
      </c>
      <c r="M734">
        <v>1.44</v>
      </c>
      <c r="N734">
        <v>0.8999999999999999</v>
      </c>
      <c r="O734">
        <v>9</v>
      </c>
      <c r="P734">
        <v>-0.005618333193698977</v>
      </c>
      <c r="Q734">
        <v>0.616411027896785</v>
      </c>
      <c r="R734" t="s">
        <v>781</v>
      </c>
      <c r="S734" t="s">
        <v>793</v>
      </c>
      <c r="T734">
        <v>2827.241648</v>
      </c>
      <c r="U734" s="2">
        <v>44506</v>
      </c>
      <c r="V734" t="s">
        <v>803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12.11</v>
      </c>
      <c r="D735">
        <v>6.6</v>
      </c>
      <c r="E735">
        <v>1.834848484848485</v>
      </c>
      <c r="F735">
        <v>0.04872006606110652</v>
      </c>
      <c r="G735">
        <v>-0.1143136357247462</v>
      </c>
      <c r="H735">
        <v>0.052</v>
      </c>
      <c r="I735">
        <v>-0.0121199406364555</v>
      </c>
      <c r="J735" t="s">
        <v>777</v>
      </c>
      <c r="K735" t="s">
        <v>514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0.232287120901946</v>
      </c>
      <c r="R735" t="s">
        <v>781</v>
      </c>
      <c r="S735" t="s">
        <v>790</v>
      </c>
      <c r="T735">
        <v>4041.543972</v>
      </c>
      <c r="U735" s="2">
        <v>44415</v>
      </c>
      <c r="V735" t="s">
        <v>803</v>
      </c>
    </row>
    <row r="736" spans="1:22">
      <c r="A736" s="1" t="s">
        <v>756</v>
      </c>
      <c r="B736">
        <f>HYPERLINK("https://www.suredividend.com/sure-analysis-CMP/","Compass Minerals International Inc")</f>
        <v>0</v>
      </c>
      <c r="C736">
        <v>71.16</v>
      </c>
      <c r="D736">
        <v>52</v>
      </c>
      <c r="E736">
        <v>1.368461538461538</v>
      </c>
      <c r="F736">
        <v>0.04047217537942664</v>
      </c>
      <c r="G736">
        <v>-0.06080995446693871</v>
      </c>
      <c r="H736">
        <v>0</v>
      </c>
      <c r="I736">
        <v>-0.01375133581652777</v>
      </c>
      <c r="J736" t="s">
        <v>777</v>
      </c>
      <c r="K736" t="s">
        <v>514</v>
      </c>
      <c r="L736">
        <v>2.25</v>
      </c>
      <c r="M736">
        <v>2.88</v>
      </c>
      <c r="N736">
        <v>1.28</v>
      </c>
      <c r="O736">
        <v>0</v>
      </c>
      <c r="P736">
        <v>0</v>
      </c>
      <c r="Q736">
        <v>0.227667246196413</v>
      </c>
      <c r="R736" t="s">
        <v>779</v>
      </c>
      <c r="S736" t="s">
        <v>787</v>
      </c>
      <c r="T736">
        <v>2470.870757</v>
      </c>
      <c r="U736" s="2">
        <v>44432</v>
      </c>
      <c r="V736" t="s">
        <v>794</v>
      </c>
    </row>
    <row r="737" spans="1:22">
      <c r="A737" s="1" t="s">
        <v>757</v>
      </c>
      <c r="B737">
        <f>HYPERLINK("https://www.suredividend.com/sure-analysis-GWRS/","Global Water Resources Inc")</f>
        <v>0</v>
      </c>
      <c r="C737">
        <v>19.03</v>
      </c>
      <c r="D737">
        <v>12</v>
      </c>
      <c r="E737">
        <v>1.585833333333333</v>
      </c>
      <c r="F737">
        <v>0.01523909616395165</v>
      </c>
      <c r="G737">
        <v>-0.08809732107232171</v>
      </c>
      <c r="H737">
        <v>0.06</v>
      </c>
      <c r="I737">
        <v>-0.01552982229984734</v>
      </c>
      <c r="J737" t="s">
        <v>777</v>
      </c>
      <c r="K737" t="s">
        <v>777</v>
      </c>
      <c r="L737">
        <v>0.4</v>
      </c>
      <c r="M737">
        <v>0.29</v>
      </c>
      <c r="N737">
        <v>0.7249999999999999</v>
      </c>
      <c r="O737">
        <v>6</v>
      </c>
      <c r="P737">
        <v>0.01988310171094443</v>
      </c>
      <c r="Q737">
        <v>0.607984710129539</v>
      </c>
      <c r="R737" t="s">
        <v>779</v>
      </c>
      <c r="S737" t="s">
        <v>791</v>
      </c>
      <c r="T737">
        <v>428.204835</v>
      </c>
      <c r="U737" s="2">
        <v>44415</v>
      </c>
      <c r="V737" t="s">
        <v>794</v>
      </c>
    </row>
    <row r="738" spans="1:22">
      <c r="A738" s="1" t="s">
        <v>758</v>
      </c>
      <c r="B738">
        <f>HYPERLINK("https://www.suredividend.com/sure-analysis-DREUF/","Dream Industrial Real Estate Investment Trust")</f>
        <v>0</v>
      </c>
      <c r="C738">
        <v>13.77</v>
      </c>
      <c r="D738">
        <v>8</v>
      </c>
      <c r="E738">
        <v>1.72125</v>
      </c>
      <c r="F738">
        <v>0.04212055192447349</v>
      </c>
      <c r="G738">
        <v>-0.1029199277743789</v>
      </c>
      <c r="H738">
        <v>0.035</v>
      </c>
      <c r="I738">
        <v>-0.01930975347635999</v>
      </c>
      <c r="J738" t="s">
        <v>777</v>
      </c>
      <c r="K738" t="s">
        <v>514</v>
      </c>
      <c r="L738">
        <v>0.65</v>
      </c>
      <c r="M738">
        <v>0.58</v>
      </c>
      <c r="N738">
        <v>0.8923076923076922</v>
      </c>
      <c r="O738">
        <v>0</v>
      </c>
      <c r="P738">
        <v>0.01013720758985226</v>
      </c>
      <c r="Q738">
        <v>0.501612903225806</v>
      </c>
      <c r="R738" t="s">
        <v>781</v>
      </c>
      <c r="S738" t="s">
        <v>790</v>
      </c>
      <c r="T738">
        <v>3165.369305</v>
      </c>
      <c r="U738" s="2">
        <v>44418</v>
      </c>
      <c r="V738" t="s">
        <v>801</v>
      </c>
    </row>
    <row r="739" spans="1:22">
      <c r="A739" s="1" t="s">
        <v>759</v>
      </c>
      <c r="B739">
        <f>HYPERLINK("https://www.suredividend.com/sure-analysis-LAND/","Gladstone Land Corp")</f>
        <v>0</v>
      </c>
      <c r="C739">
        <v>25.56</v>
      </c>
      <c r="D739">
        <v>14</v>
      </c>
      <c r="E739">
        <v>1.825714285714286</v>
      </c>
      <c r="F739">
        <v>0.02112676056338028</v>
      </c>
      <c r="G739">
        <v>-0.1134291715926222</v>
      </c>
      <c r="H739">
        <v>0.06</v>
      </c>
      <c r="I739">
        <v>-0.03221648628401508</v>
      </c>
      <c r="J739" t="s">
        <v>777</v>
      </c>
      <c r="K739" t="s">
        <v>777</v>
      </c>
      <c r="L739">
        <v>0.65</v>
      </c>
      <c r="M739">
        <v>0.54</v>
      </c>
      <c r="N739">
        <v>0.8307692307692308</v>
      </c>
      <c r="O739">
        <v>7</v>
      </c>
      <c r="P739">
        <v>0.03131030647754507</v>
      </c>
      <c r="Q739">
        <v>0.8400017713615121</v>
      </c>
      <c r="R739" t="s">
        <v>781</v>
      </c>
      <c r="S739" t="s">
        <v>793</v>
      </c>
      <c r="T739">
        <v>780.990811</v>
      </c>
      <c r="U739" s="2">
        <v>44424</v>
      </c>
      <c r="V739" t="s">
        <v>798</v>
      </c>
    </row>
    <row r="740" spans="1:22">
      <c r="A740" s="1" t="s">
        <v>760</v>
      </c>
      <c r="B740">
        <f>HYPERLINK("https://www.suredividend.com/sure-analysis-WELL/","Welltower Inc")</f>
        <v>0</v>
      </c>
      <c r="C740">
        <v>87.01000000000001</v>
      </c>
      <c r="D740">
        <v>56</v>
      </c>
      <c r="E740">
        <v>1.55375</v>
      </c>
      <c r="F740">
        <v>0.02804275370647052</v>
      </c>
      <c r="G740">
        <v>-0.08436207677009022</v>
      </c>
      <c r="H740">
        <v>0.012</v>
      </c>
      <c r="I740">
        <v>-0.03295656668201119</v>
      </c>
      <c r="J740" t="s">
        <v>777</v>
      </c>
      <c r="K740" t="s">
        <v>514</v>
      </c>
      <c r="L740">
        <v>3.19</v>
      </c>
      <c r="M740">
        <v>2.44</v>
      </c>
      <c r="N740">
        <v>0.7648902821316614</v>
      </c>
      <c r="O740">
        <v>0</v>
      </c>
      <c r="P740">
        <v>0.04972154879615531</v>
      </c>
      <c r="Q740">
        <v>0.312601838472653</v>
      </c>
      <c r="R740" t="s">
        <v>781</v>
      </c>
      <c r="S740" t="s">
        <v>793</v>
      </c>
      <c r="T740">
        <v>37168.091946</v>
      </c>
      <c r="U740" s="2">
        <v>44505</v>
      </c>
      <c r="V740" t="s">
        <v>804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55.1</v>
      </c>
      <c r="D741">
        <v>35.5</v>
      </c>
      <c r="E741">
        <v>1.552112676056338</v>
      </c>
      <c r="F741">
        <v>0.06497277676950998</v>
      </c>
      <c r="G741">
        <v>-0.08416897691106062</v>
      </c>
      <c r="H741">
        <v>-0.053</v>
      </c>
      <c r="I741">
        <v>-0.04768544126688357</v>
      </c>
      <c r="J741" t="s">
        <v>777</v>
      </c>
      <c r="K741" t="s">
        <v>514</v>
      </c>
      <c r="L741">
        <v>3.55</v>
      </c>
      <c r="M741">
        <v>3.58</v>
      </c>
      <c r="N741">
        <v>1.008450704225352</v>
      </c>
      <c r="O741">
        <v>0</v>
      </c>
      <c r="P741">
        <v>-0.0347325852957544</v>
      </c>
      <c r="Q741">
        <v>0.9820880048475171</v>
      </c>
      <c r="R741" t="s">
        <v>779</v>
      </c>
      <c r="S741" t="s">
        <v>790</v>
      </c>
      <c r="T741">
        <v>5588.497235</v>
      </c>
      <c r="U741" s="2">
        <v>44504</v>
      </c>
      <c r="V741" t="s">
        <v>803</v>
      </c>
    </row>
    <row r="742" spans="1:22">
      <c r="A742" s="1" t="s">
        <v>762</v>
      </c>
      <c r="B742">
        <f>HYPERLINK("https://www.suredividend.com/sure-analysis-OXY/","Occidental Petroleum Corp.")</f>
        <v>0</v>
      </c>
      <c r="C742">
        <v>31.82</v>
      </c>
      <c r="D742">
        <v>18</v>
      </c>
      <c r="E742">
        <v>1.767777777777778</v>
      </c>
      <c r="F742">
        <v>0.001257071024512885</v>
      </c>
      <c r="G742">
        <v>-0.1076926589522645</v>
      </c>
      <c r="H742">
        <v>0.06</v>
      </c>
      <c r="I742">
        <v>-0.0483789011896717</v>
      </c>
      <c r="J742" t="s">
        <v>777</v>
      </c>
      <c r="K742" t="s">
        <v>777</v>
      </c>
      <c r="L742">
        <v>-0.8</v>
      </c>
      <c r="M742">
        <v>0.04</v>
      </c>
      <c r="N742">
        <v>9.99</v>
      </c>
      <c r="O742">
        <v>0</v>
      </c>
      <c r="P742">
        <v>0.4757731615945522</v>
      </c>
      <c r="Q742">
        <v>1.763218240188691</v>
      </c>
      <c r="R742" t="s">
        <v>779</v>
      </c>
      <c r="S742" t="s">
        <v>792</v>
      </c>
      <c r="T742">
        <v>31512.518299</v>
      </c>
      <c r="U742" s="2">
        <v>44433</v>
      </c>
      <c r="V742" t="s">
        <v>802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33.35</v>
      </c>
      <c r="D743">
        <v>9</v>
      </c>
      <c r="E743">
        <v>3.705555555555556</v>
      </c>
      <c r="F743">
        <v>0.02998500749625187</v>
      </c>
      <c r="G743">
        <v>-0.2304633042108527</v>
      </c>
      <c r="H743">
        <v>0.17</v>
      </c>
      <c r="I743">
        <v>-0.05803927903160799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1.070277662167786</v>
      </c>
      <c r="R743" t="s">
        <v>779</v>
      </c>
      <c r="S743" t="s">
        <v>792</v>
      </c>
      <c r="T743">
        <v>3757.035589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8.25</v>
      </c>
      <c r="D744">
        <v>3.1</v>
      </c>
      <c r="E744">
        <v>2.661290322580645</v>
      </c>
      <c r="F744">
        <v>0.02909090909090909</v>
      </c>
      <c r="G744">
        <v>-0.1777922821801793</v>
      </c>
      <c r="H744">
        <v>0.07000000000000001</v>
      </c>
      <c r="I744">
        <v>-0.06695496957067093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2.840526700804682</v>
      </c>
      <c r="R744" t="s">
        <v>779</v>
      </c>
      <c r="S744" t="s">
        <v>792</v>
      </c>
      <c r="T744">
        <v>391.513886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28.78</v>
      </c>
      <c r="D745">
        <v>11</v>
      </c>
      <c r="E745">
        <v>2.616363636363637</v>
      </c>
      <c r="F745">
        <v>0.05767894371091035</v>
      </c>
      <c r="G745">
        <v>-0.1749877842044503</v>
      </c>
      <c r="H745">
        <v>0.02</v>
      </c>
      <c r="I745">
        <v>-0.09427615361121033</v>
      </c>
      <c r="J745" t="s">
        <v>777</v>
      </c>
      <c r="K745" t="s">
        <v>370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0.05901377270433401</v>
      </c>
      <c r="R745" t="s">
        <v>779</v>
      </c>
      <c r="S745" t="s">
        <v>791</v>
      </c>
      <c r="T745">
        <v>22126.167469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6.48</v>
      </c>
      <c r="D746">
        <v>3.1</v>
      </c>
      <c r="E746">
        <v>2.090322580645161</v>
      </c>
      <c r="F746">
        <v>0.009259259259259259</v>
      </c>
      <c r="G746">
        <v>-0.1371062217512568</v>
      </c>
      <c r="H746">
        <v>0.026</v>
      </c>
      <c r="I746">
        <v>-0.09738863098141504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1.132641437792684</v>
      </c>
      <c r="R746" t="s">
        <v>779</v>
      </c>
      <c r="S746" t="s">
        <v>790</v>
      </c>
      <c r="T746">
        <v>87.47492200000001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20.22</v>
      </c>
      <c r="D747">
        <v>5.55</v>
      </c>
      <c r="E747">
        <v>3.643243243243243</v>
      </c>
      <c r="F747">
        <v>0.01582591493570722</v>
      </c>
      <c r="G747">
        <v>-0.2278487721675346</v>
      </c>
      <c r="H747">
        <v>0.1</v>
      </c>
      <c r="I747">
        <v>-0.1221948334242176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0.8774070808779171</v>
      </c>
      <c r="R747" t="s">
        <v>779</v>
      </c>
      <c r="S747" t="s">
        <v>786</v>
      </c>
      <c r="T747">
        <v>2690.775752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9.08</v>
      </c>
      <c r="D748">
        <v>5.95</v>
      </c>
      <c r="E748">
        <v>1.526050420168067</v>
      </c>
      <c r="F748">
        <v>0.00881057268722467</v>
      </c>
      <c r="G748">
        <v>-0.08106197341821875</v>
      </c>
      <c r="H748">
        <v>-0.1</v>
      </c>
      <c r="I748">
        <v>-0.1549273965740086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1.810297629448424</v>
      </c>
      <c r="R748" t="s">
        <v>779</v>
      </c>
      <c r="S748" t="s">
        <v>792</v>
      </c>
      <c r="T748">
        <v>2075.832691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46.06</v>
      </c>
      <c r="D749">
        <v>12</v>
      </c>
      <c r="E749">
        <v>3.838333333333333</v>
      </c>
      <c r="F749">
        <v>0.0002171081198436822</v>
      </c>
      <c r="G749">
        <v>-0.2358625892007723</v>
      </c>
      <c r="H749">
        <v>0.06</v>
      </c>
      <c r="I749">
        <v>-0.1864901862353247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0.871246535643826</v>
      </c>
      <c r="R749" t="s">
        <v>779</v>
      </c>
      <c r="S749" t="s">
        <v>788</v>
      </c>
      <c r="T749">
        <v>22195.869369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33.5</v>
      </c>
      <c r="D750">
        <v>39</v>
      </c>
      <c r="E750">
        <v>0.8589743589743589</v>
      </c>
      <c r="F750">
        <v>0</v>
      </c>
      <c r="G750">
        <v>0.03087013973307773</v>
      </c>
      <c r="H750">
        <v>0.03</v>
      </c>
      <c r="I750">
        <v>0.08082897370013575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0.5427597955706981</v>
      </c>
      <c r="R750" t="s">
        <v>779</v>
      </c>
      <c r="S750" t="s">
        <v>792</v>
      </c>
      <c r="T750">
        <v>5518.372141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13.33</v>
      </c>
      <c r="D751">
        <v>11</v>
      </c>
      <c r="E751">
        <v>1.211818181818182</v>
      </c>
      <c r="F751">
        <v>0</v>
      </c>
      <c r="G751">
        <v>-0.03769552111691254</v>
      </c>
      <c r="H751">
        <v>0.05</v>
      </c>
      <c r="I751">
        <v>0.03509462842353184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0.43039319872476</v>
      </c>
      <c r="R751" t="s">
        <v>781</v>
      </c>
      <c r="S751" t="s">
        <v>793</v>
      </c>
      <c r="T751">
        <v>656.419716</v>
      </c>
      <c r="U751" s="2">
        <v>44418</v>
      </c>
      <c r="V751" t="s">
        <v>801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2.29</v>
      </c>
      <c r="D752">
        <v>3</v>
      </c>
      <c r="E752">
        <v>0.7633333333333333</v>
      </c>
      <c r="F752">
        <v>0</v>
      </c>
      <c r="G752">
        <v>0.05549736749567247</v>
      </c>
      <c r="H752">
        <v>-0.025</v>
      </c>
      <c r="I752">
        <v>0.02910993330828071</v>
      </c>
      <c r="J752" t="s">
        <v>778</v>
      </c>
      <c r="K752" t="s">
        <v>778</v>
      </c>
      <c r="L752">
        <v>1</v>
      </c>
      <c r="M752">
        <v>0</v>
      </c>
      <c r="N752">
        <v>0</v>
      </c>
      <c r="O752">
        <v>0</v>
      </c>
      <c r="P752">
        <v>0</v>
      </c>
      <c r="Q752">
        <v>-0.09191176470588201</v>
      </c>
      <c r="R752" t="s">
        <v>780</v>
      </c>
      <c r="S752" t="s">
        <v>792</v>
      </c>
      <c r="T752">
        <v>320.097029</v>
      </c>
      <c r="U752" s="2">
        <v>44442</v>
      </c>
      <c r="V752" t="s">
        <v>801</v>
      </c>
    </row>
    <row r="753" spans="1:22">
      <c r="A753" s="1" t="s">
        <v>773</v>
      </c>
      <c r="B753">
        <f>HYPERLINK("https://www.suredividend.com/sure-analysis-PK/","Park Hotels &amp; Resorts Inc")</f>
        <v>0</v>
      </c>
      <c r="C753">
        <v>20.62</v>
      </c>
      <c r="D753">
        <v>18</v>
      </c>
      <c r="E753">
        <v>1.145555555555556</v>
      </c>
      <c r="F753">
        <v>0</v>
      </c>
      <c r="G753">
        <v>-0.0268119469938668</v>
      </c>
      <c r="H753">
        <v>0.015</v>
      </c>
      <c r="I753">
        <v>0.02466125044499501</v>
      </c>
      <c r="J753" t="s">
        <v>778</v>
      </c>
      <c r="K753" t="s">
        <v>778</v>
      </c>
      <c r="L753">
        <v>-0.7</v>
      </c>
      <c r="M753">
        <v>0</v>
      </c>
      <c r="N753">
        <v>-0</v>
      </c>
      <c r="O753">
        <v>0</v>
      </c>
      <c r="P753">
        <v>0.07999957023861581</v>
      </c>
      <c r="Q753">
        <v>0.450519031141868</v>
      </c>
      <c r="R753" t="s">
        <v>781</v>
      </c>
      <c r="S753" t="s">
        <v>793</v>
      </c>
      <c r="T753">
        <v>4956.603592</v>
      </c>
      <c r="U753" s="2">
        <v>44424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3.532</v>
      </c>
      <c r="D754">
        <v>2.16</v>
      </c>
      <c r="E754">
        <v>1.635185185185185</v>
      </c>
      <c r="F754">
        <v>0</v>
      </c>
      <c r="G754">
        <v>-0.09366946649943741</v>
      </c>
      <c r="H754">
        <v>0.03</v>
      </c>
      <c r="I754">
        <v>-0.03510756786973313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0.265454545454545</v>
      </c>
      <c r="R754" t="s">
        <v>779</v>
      </c>
      <c r="S754" t="s">
        <v>786</v>
      </c>
      <c r="T754">
        <v>618.22509</v>
      </c>
      <c r="U754" s="2">
        <v>44421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788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789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713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396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633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638</v>
      </c>
      <c r="B243">
        <v>43819</v>
      </c>
    </row>
    <row r="244" spans="1:2">
      <c r="A244" s="1" t="s">
        <v>651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631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668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671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388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642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704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700</v>
      </c>
      <c r="B293">
        <v>43826</v>
      </c>
    </row>
    <row r="294" spans="1:2">
      <c r="A294" s="1" t="s">
        <v>487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596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716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550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745</v>
      </c>
      <c r="B341">
        <v>43853</v>
      </c>
    </row>
    <row r="342" spans="1:2">
      <c r="A342" s="1" t="s">
        <v>680</v>
      </c>
      <c r="B342">
        <v>43760</v>
      </c>
    </row>
    <row r="343" spans="1:2">
      <c r="A343" s="1" t="s">
        <v>641</v>
      </c>
      <c r="B343">
        <v>43854</v>
      </c>
    </row>
    <row r="344" spans="1:2">
      <c r="A344" s="1" t="s">
        <v>670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367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191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581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711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662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673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691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708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730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679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664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695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732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461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597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727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488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447</v>
      </c>
      <c r="B483">
        <v>43832</v>
      </c>
    </row>
    <row r="484" spans="1:2">
      <c r="A484" s="1" t="s">
        <v>392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702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648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699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537</v>
      </c>
      <c r="B561">
        <v>43845</v>
      </c>
    </row>
    <row r="562" spans="1:2">
      <c r="A562" s="1" t="s">
        <v>709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665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545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669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632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627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754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678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762</v>
      </c>
      <c r="B629">
        <v>43845</v>
      </c>
    </row>
    <row r="630" spans="1:2">
      <c r="A630" s="1" t="s">
        <v>654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598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749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720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735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739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737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696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389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436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256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686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690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688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508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652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569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582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376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714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705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740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526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188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399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741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676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500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498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496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198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613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687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622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693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644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743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193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583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199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476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354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731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490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590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264</v>
      </c>
      <c r="B1527">
        <v>43830</v>
      </c>
    </row>
    <row r="1528" spans="1:2">
      <c r="A1528" s="1" t="s">
        <v>372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371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325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343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415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592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44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385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538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725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656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640</v>
      </c>
      <c r="B1677" t="s">
        <v>10116</v>
      </c>
    </row>
    <row r="1678" spans="1:2">
      <c r="A1678" s="1" t="s">
        <v>624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506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531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734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604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560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578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390</v>
      </c>
      <c r="B1777">
        <v>43783</v>
      </c>
    </row>
    <row r="1778" spans="1:2">
      <c r="A1778" s="1" t="s">
        <v>611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489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729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416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756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207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224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635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555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738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541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468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663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579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657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408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750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514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546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368</v>
      </c>
      <c r="B2047">
        <v>43819</v>
      </c>
    </row>
    <row r="2048" spans="1:2">
      <c r="A2048" s="1" t="s">
        <v>760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658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628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707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260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542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584</v>
      </c>
      <c r="B2101">
        <v>43802</v>
      </c>
    </row>
    <row r="2102" spans="1:2">
      <c r="A2102" s="1" t="s">
        <v>620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682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543</v>
      </c>
      <c r="B2124" t="s">
        <v>778</v>
      </c>
    </row>
    <row r="2125" spans="1:2">
      <c r="A2125" s="1" t="s">
        <v>575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493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647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600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533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594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529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401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373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759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233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616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724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692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698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230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539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482</v>
      </c>
      <c r="B2358">
        <v>43809</v>
      </c>
    </row>
    <row r="2359" spans="1:2">
      <c r="A2359" s="1" t="s">
        <v>484</v>
      </c>
      <c r="B2359">
        <v>43809</v>
      </c>
    </row>
    <row r="2360" spans="1:2">
      <c r="A2360" s="1" t="s">
        <v>225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360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215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425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659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217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495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563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602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271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554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219</v>
      </c>
      <c r="B2440">
        <v>43861</v>
      </c>
    </row>
    <row r="2441" spans="1:2">
      <c r="A2441" s="1" t="s">
        <v>323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689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503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400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289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464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197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623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402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723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703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677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519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40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712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67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35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521</v>
      </c>
      <c r="B2584">
        <v>43846</v>
      </c>
    </row>
    <row r="2585" spans="1:2">
      <c r="A2585" s="1" t="s">
        <v>435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608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666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258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742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212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629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481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576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718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334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398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348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650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384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247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205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564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660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357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753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266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235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244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253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549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524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697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275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43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292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213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434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507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62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445</v>
      </c>
      <c r="B2913">
        <v>43629</v>
      </c>
    </row>
    <row r="2914" spans="1:2">
      <c r="A2914" s="1" t="s">
        <v>32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68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534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34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267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423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129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194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552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540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252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50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609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432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639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710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617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262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427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187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504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556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356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250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746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557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382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182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607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93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517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417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451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518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450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234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92</v>
      </c>
      <c r="B3280">
        <v>43831</v>
      </c>
    </row>
    <row r="3281" spans="1:2">
      <c r="A3281" s="1" t="s">
        <v>377</v>
      </c>
      <c r="B3281">
        <v>43800</v>
      </c>
    </row>
    <row r="3282" spans="1:2">
      <c r="A3282" s="1" t="s">
        <v>97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414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558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351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232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263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736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553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46</v>
      </c>
      <c r="B3364">
        <v>43818</v>
      </c>
    </row>
    <row r="3365" spans="1:2">
      <c r="A3365" s="1" t="s">
        <v>284</v>
      </c>
      <c r="B3365">
        <v>43837</v>
      </c>
    </row>
    <row r="3366" spans="1:2">
      <c r="A3366" s="1" t="s">
        <v>31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299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81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95</v>
      </c>
      <c r="B3400">
        <v>43845</v>
      </c>
    </row>
    <row r="3401" spans="1:2">
      <c r="A3401" s="1" t="s">
        <v>364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201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573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513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366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480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593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116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220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255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52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80</v>
      </c>
      <c r="B3463">
        <v>43845</v>
      </c>
    </row>
    <row r="3464" spans="1:2">
      <c r="A3464" s="1" t="s">
        <v>196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636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510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124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667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65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274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254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568</v>
      </c>
      <c r="B3529">
        <v>43801</v>
      </c>
    </row>
    <row r="3530" spans="1:2">
      <c r="A3530" s="1" t="s">
        <v>48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179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210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361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559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719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312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112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516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379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33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41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595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409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278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209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606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184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614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280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239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127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195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78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226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140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295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277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404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29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586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394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273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88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134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449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128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326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567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335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339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571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89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757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94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585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77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104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123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605</v>
      </c>
      <c r="B4011">
        <v>43851</v>
      </c>
    </row>
    <row r="4012" spans="1:2">
      <c r="A4012" s="1" t="s">
        <v>363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117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249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418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294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139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100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337</v>
      </c>
      <c r="B4106">
        <v>43784</v>
      </c>
    </row>
    <row r="4107" spans="1:2">
      <c r="A4107" s="1" t="s">
        <v>431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61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494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86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218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73</v>
      </c>
      <c r="B4199">
        <v>43812</v>
      </c>
    </row>
    <row r="4200" spans="1:2">
      <c r="A4200" s="1" t="s">
        <v>204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108</v>
      </c>
      <c r="B4207">
        <v>43879</v>
      </c>
    </row>
    <row r="4208" spans="1:2">
      <c r="A4208" s="1" t="s">
        <v>222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681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287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328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300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120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58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111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701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96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306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296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457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465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338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283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189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391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121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90</v>
      </c>
      <c r="B4446">
        <v>43801</v>
      </c>
    </row>
    <row r="4447" spans="1:2">
      <c r="A4447" s="1" t="s">
        <v>76</v>
      </c>
      <c r="B4447">
        <v>43815</v>
      </c>
    </row>
    <row r="4448" spans="1:2">
      <c r="A4448" s="1" t="s">
        <v>131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72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113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530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261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84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286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245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60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55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345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301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99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315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532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437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304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505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601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152</v>
      </c>
      <c r="B4652">
        <v>43814</v>
      </c>
    </row>
    <row r="4653" spans="1:2">
      <c r="A4653" s="1" t="s">
        <v>75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316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282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74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208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236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141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125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147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462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525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190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102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378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290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428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206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421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511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344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433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548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265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365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259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151</v>
      </c>
      <c r="B4990">
        <v>43791</v>
      </c>
    </row>
    <row r="4991" spans="1:2">
      <c r="A4991" s="1" t="s">
        <v>454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101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570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69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419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143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221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83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126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599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565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164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135</v>
      </c>
      <c r="B5207">
        <v>43871</v>
      </c>
    </row>
    <row r="5208" spans="1:2">
      <c r="A5208" s="1" t="s">
        <v>694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115</v>
      </c>
      <c r="B5274">
        <v>43801</v>
      </c>
    </row>
    <row r="5275" spans="1:2">
      <c r="A5275" s="1" t="s">
        <v>353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248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146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105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612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98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441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268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228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118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119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243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637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223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386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346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272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82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37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47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110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430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136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114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455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53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305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298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144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203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156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71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36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603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444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456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242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186</v>
      </c>
      <c r="B5882">
        <v>43613</v>
      </c>
    </row>
    <row r="5883" spans="1:2">
      <c r="A5883" s="1" t="s">
        <v>383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587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122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645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107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405</v>
      </c>
      <c r="B5927">
        <v>43784</v>
      </c>
    </row>
    <row r="5928" spans="1:2">
      <c r="A5928" s="1" t="s">
        <v>293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722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132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79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85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610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157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615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349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491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458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66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340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63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64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479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509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410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562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380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313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580</v>
      </c>
      <c r="B6348">
        <v>43755</v>
      </c>
    </row>
    <row r="6349" spans="1:2">
      <c r="A6349" s="1" t="s">
        <v>162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422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407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59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285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721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464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211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685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214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520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2021-11-11T07:14:02Z</dcterms:created>
  <dcterms:modified xsi:type="dcterms:W3CDTF">2021-11-11T07:14:02Z</dcterms:modified>
</cp:coreProperties>
</file>