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<sst xmlns="http://schemas.openxmlformats.org/spreadsheetml/2006/main" count="20731" uniqueCount="10122">
  <si>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</si>
  <si>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</si>
  <si>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</si>
  <si>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</si>
  <si>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</si>
  <si>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</si>
  <si>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</si>
  <si>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</si>
  <si>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</si>
  <si>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</si>
  <si>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</si>
  <si>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</si>
  <si>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</si>
  <si>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</si>
  <si>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</si>
  <si>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</si>
  <si>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</si>
  <si>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</si>
  <si>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</si>
  <si>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</si>
  <si>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</si>
  <si>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</si>
  <si>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</si>
  <si>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</si>
  <si>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</si>
  <si>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</si>
  <si>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</si>
  <si>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DCI</t>
  </si>
  <si>
    <t>SLGN</t>
  </si>
  <si>
    <t>BDX</t>
  </si>
  <si>
    <t>PH</t>
  </si>
  <si>
    <t>WBA</t>
  </si>
  <si>
    <t>SWKS</t>
  </si>
  <si>
    <t>CAH</t>
  </si>
  <si>
    <t>TNC</t>
  </si>
  <si>
    <t>ABBV</t>
  </si>
  <si>
    <t>SWK</t>
  </si>
  <si>
    <t>ADM</t>
  </si>
  <si>
    <t>EFSI</t>
  </si>
  <si>
    <t>SYK</t>
  </si>
  <si>
    <t>JW.A</t>
  </si>
  <si>
    <t>ATO</t>
  </si>
  <si>
    <t>UNM</t>
  </si>
  <si>
    <t>ANTM</t>
  </si>
  <si>
    <t>ROP</t>
  </si>
  <si>
    <t>PII</t>
  </si>
  <si>
    <t>BANF</t>
  </si>
  <si>
    <t>MDU</t>
  </si>
  <si>
    <t>SKM</t>
  </si>
  <si>
    <t>MATW</t>
  </si>
  <si>
    <t>BKH</t>
  </si>
  <si>
    <t>WHR</t>
  </si>
  <si>
    <t>QCOM</t>
  </si>
  <si>
    <t>BRC</t>
  </si>
  <si>
    <t>LOW</t>
  </si>
  <si>
    <t>FMCB</t>
  </si>
  <si>
    <t>JNJ</t>
  </si>
  <si>
    <t>RNR</t>
  </si>
  <si>
    <t>PPG</t>
  </si>
  <si>
    <t>LEG</t>
  </si>
  <si>
    <t>BBY</t>
  </si>
  <si>
    <t>MMM</t>
  </si>
  <si>
    <t>EBTC</t>
  </si>
  <si>
    <t>CTBI</t>
  </si>
  <si>
    <t>BEN</t>
  </si>
  <si>
    <t>NOC</t>
  </si>
  <si>
    <t>FMS</t>
  </si>
  <si>
    <t>SEIC</t>
  </si>
  <si>
    <t>MCK</t>
  </si>
  <si>
    <t>TMO</t>
  </si>
  <si>
    <t>NFG</t>
  </si>
  <si>
    <t>WMT</t>
  </si>
  <si>
    <t>NIDB</t>
  </si>
  <si>
    <t>INTU</t>
  </si>
  <si>
    <t>CINF</t>
  </si>
  <si>
    <t>CL</t>
  </si>
  <si>
    <t>NWN</t>
  </si>
  <si>
    <t>CP</t>
  </si>
  <si>
    <t>DG</t>
  </si>
  <si>
    <t>TSN</t>
  </si>
  <si>
    <t>MKC</t>
  </si>
  <si>
    <t>ABC</t>
  </si>
  <si>
    <t>TRV</t>
  </si>
  <si>
    <t>SCL</t>
  </si>
  <si>
    <t>LHX</t>
  </si>
  <si>
    <t>AFL</t>
  </si>
  <si>
    <t>AXS</t>
  </si>
  <si>
    <t>FFMR</t>
  </si>
  <si>
    <t>KO</t>
  </si>
  <si>
    <t>SON</t>
  </si>
  <si>
    <t>ADP</t>
  </si>
  <si>
    <t>AMP</t>
  </si>
  <si>
    <t>RE</t>
  </si>
  <si>
    <t>AIZ</t>
  </si>
  <si>
    <t>EXPD</t>
  </si>
  <si>
    <t>KR</t>
  </si>
  <si>
    <t>VFC</t>
  </si>
  <si>
    <t>UGI</t>
  </si>
  <si>
    <t>LANC</t>
  </si>
  <si>
    <t>CHD</t>
  </si>
  <si>
    <t>SYY</t>
  </si>
  <si>
    <t>PNR</t>
  </si>
  <si>
    <t>GPC</t>
  </si>
  <si>
    <t>FUL</t>
  </si>
  <si>
    <t>CPKF</t>
  </si>
  <si>
    <t>GD</t>
  </si>
  <si>
    <t>HRL</t>
  </si>
  <si>
    <t>COST</t>
  </si>
  <si>
    <t>WSM</t>
  </si>
  <si>
    <t>MGRC</t>
  </si>
  <si>
    <t>AROW</t>
  </si>
  <si>
    <t>ORCL</t>
  </si>
  <si>
    <t>THFF</t>
  </si>
  <si>
    <t>EMR</t>
  </si>
  <si>
    <t>MDT</t>
  </si>
  <si>
    <t>RPM</t>
  </si>
  <si>
    <t>CSX</t>
  </si>
  <si>
    <t>CSL</t>
  </si>
  <si>
    <t>CB</t>
  </si>
  <si>
    <t>CBSH</t>
  </si>
  <si>
    <t>DOV</t>
  </si>
  <si>
    <t>TGT</t>
  </si>
  <si>
    <t>MCO</t>
  </si>
  <si>
    <t>PG</t>
  </si>
  <si>
    <t>ITW</t>
  </si>
  <si>
    <t>GWW</t>
  </si>
  <si>
    <t>V</t>
  </si>
  <si>
    <t>PSBQ</t>
  </si>
  <si>
    <t>LECO</t>
  </si>
  <si>
    <t>SPGI</t>
  </si>
  <si>
    <t>JKHY</t>
  </si>
  <si>
    <t>CSVI</t>
  </si>
  <si>
    <t>AOS</t>
  </si>
  <si>
    <t>ABT</t>
  </si>
  <si>
    <t>TROW</t>
  </si>
  <si>
    <t>SRCE</t>
  </si>
  <si>
    <t>FELE</t>
  </si>
  <si>
    <t>OZK</t>
  </si>
  <si>
    <t>UNF</t>
  </si>
  <si>
    <t>NKE</t>
  </si>
  <si>
    <t>SHW</t>
  </si>
  <si>
    <t>UBSI</t>
  </si>
  <si>
    <t>AMAT</t>
  </si>
  <si>
    <t>AAPL</t>
  </si>
  <si>
    <t>CARR</t>
  </si>
  <si>
    <t>GRC</t>
  </si>
  <si>
    <t>SJW</t>
  </si>
  <si>
    <t>LIN</t>
  </si>
  <si>
    <t>BRO</t>
  </si>
  <si>
    <t>MSFT</t>
  </si>
  <si>
    <t>AXP</t>
  </si>
  <si>
    <t>MGEE</t>
  </si>
  <si>
    <t>MSA</t>
  </si>
  <si>
    <t>ECL</t>
  </si>
  <si>
    <t>ATR</t>
  </si>
  <si>
    <t>TXT</t>
  </si>
  <si>
    <t>NDSN</t>
  </si>
  <si>
    <t>BF.B</t>
  </si>
  <si>
    <t>CTAS</t>
  </si>
  <si>
    <t>MORN</t>
  </si>
  <si>
    <t>CWT</t>
  </si>
  <si>
    <t>ZTS</t>
  </si>
  <si>
    <t>AWR</t>
  </si>
  <si>
    <t>RLI</t>
  </si>
  <si>
    <t>NUE</t>
  </si>
  <si>
    <t>WST</t>
  </si>
  <si>
    <t>ALB</t>
  </si>
  <si>
    <t>BMI</t>
  </si>
  <si>
    <t>BAM</t>
  </si>
  <si>
    <t>MSEX</t>
  </si>
  <si>
    <t>TMP</t>
  </si>
  <si>
    <t>CI</t>
  </si>
  <si>
    <t>PNGAY</t>
  </si>
  <si>
    <t>T</t>
  </si>
  <si>
    <t>LMT</t>
  </si>
  <si>
    <t>AMGN</t>
  </si>
  <si>
    <t>VZ</t>
  </si>
  <si>
    <t>LAD</t>
  </si>
  <si>
    <t>CMCSA</t>
  </si>
  <si>
    <t>GILD</t>
  </si>
  <si>
    <t>FNV</t>
  </si>
  <si>
    <t>SRE</t>
  </si>
  <si>
    <t>TDS</t>
  </si>
  <si>
    <t>SR</t>
  </si>
  <si>
    <t>FLIC</t>
  </si>
  <si>
    <t>NVS</t>
  </si>
  <si>
    <t>YUM</t>
  </si>
  <si>
    <t>NJR</t>
  </si>
  <si>
    <t>SAP</t>
  </si>
  <si>
    <t>LAZ</t>
  </si>
  <si>
    <t>MURGF</t>
  </si>
  <si>
    <t>BLK</t>
  </si>
  <si>
    <t>SWX</t>
  </si>
  <si>
    <t>RBGLY</t>
  </si>
  <si>
    <t>EMN</t>
  </si>
  <si>
    <t>KDP</t>
  </si>
  <si>
    <t>MO</t>
  </si>
  <si>
    <t>BNS</t>
  </si>
  <si>
    <t>OGN</t>
  </si>
  <si>
    <t>UNH</t>
  </si>
  <si>
    <t>MRK</t>
  </si>
  <si>
    <t>ENB</t>
  </si>
  <si>
    <t>EIX</t>
  </si>
  <si>
    <t>OMC</t>
  </si>
  <si>
    <t>MDLZ</t>
  </si>
  <si>
    <t>TD</t>
  </si>
  <si>
    <t>WU</t>
  </si>
  <si>
    <t>BR</t>
  </si>
  <si>
    <t>HBI</t>
  </si>
  <si>
    <t>SLF</t>
  </si>
  <si>
    <t>GWLIF</t>
  </si>
  <si>
    <t>CDUAF</t>
  </si>
  <si>
    <t>BAH</t>
  </si>
  <si>
    <t>CHRW</t>
  </si>
  <si>
    <t>BIP</t>
  </si>
  <si>
    <t>CMI</t>
  </si>
  <si>
    <t>FTS</t>
  </si>
  <si>
    <t>HD</t>
  </si>
  <si>
    <t>INTC</t>
  </si>
  <si>
    <t>BMO</t>
  </si>
  <si>
    <t>TTC</t>
  </si>
  <si>
    <t>IPG</t>
  </si>
  <si>
    <t>EPD</t>
  </si>
  <si>
    <t>DPZ</t>
  </si>
  <si>
    <t>RY</t>
  </si>
  <si>
    <t>ARTNA</t>
  </si>
  <si>
    <t>PBCT</t>
  </si>
  <si>
    <t>DDS</t>
  </si>
  <si>
    <t>PB</t>
  </si>
  <si>
    <t>UVV</t>
  </si>
  <si>
    <t>EQIX</t>
  </si>
  <si>
    <t>KMB</t>
  </si>
  <si>
    <t>RDEIY</t>
  </si>
  <si>
    <t>UHT</t>
  </si>
  <si>
    <t>HII</t>
  </si>
  <si>
    <t>CM</t>
  </si>
  <si>
    <t>CVS</t>
  </si>
  <si>
    <t>NTIOF</t>
  </si>
  <si>
    <t>AEP</t>
  </si>
  <si>
    <t>RBA</t>
  </si>
  <si>
    <t>LNT</t>
  </si>
  <si>
    <t>CONE</t>
  </si>
  <si>
    <t>CSCO</t>
  </si>
  <si>
    <t>ORI</t>
  </si>
  <si>
    <t>RELX</t>
  </si>
  <si>
    <t>MTB</t>
  </si>
  <si>
    <t>OTTR</t>
  </si>
  <si>
    <t>YORW</t>
  </si>
  <si>
    <t>SPTN</t>
  </si>
  <si>
    <t>K</t>
  </si>
  <si>
    <t>SNA</t>
  </si>
  <si>
    <t>MET</t>
  </si>
  <si>
    <t>UPS</t>
  </si>
  <si>
    <t>TXN</t>
  </si>
  <si>
    <t>NEP</t>
  </si>
  <si>
    <t>AMX</t>
  </si>
  <si>
    <t>SJM</t>
  </si>
  <si>
    <t>CLX</t>
  </si>
  <si>
    <t>FOXA</t>
  </si>
  <si>
    <t>MSM</t>
  </si>
  <si>
    <t>HRB</t>
  </si>
  <si>
    <t>LRLCF</t>
  </si>
  <si>
    <t>DTE</t>
  </si>
  <si>
    <t>RSG</t>
  </si>
  <si>
    <t>ED</t>
  </si>
  <si>
    <t>IBM</t>
  </si>
  <si>
    <t>AWK</t>
  </si>
  <si>
    <t>IMO</t>
  </si>
  <si>
    <t>ICE</t>
  </si>
  <si>
    <t>CIO</t>
  </si>
  <si>
    <t>HNI</t>
  </si>
  <si>
    <t>SBAC</t>
  </si>
  <si>
    <t>WEYS</t>
  </si>
  <si>
    <t>WABC</t>
  </si>
  <si>
    <t>CTSH</t>
  </si>
  <si>
    <t>ETR</t>
  </si>
  <si>
    <t>GEF</t>
  </si>
  <si>
    <t>CAT</t>
  </si>
  <si>
    <t>SIEGY</t>
  </si>
  <si>
    <t>DE</t>
  </si>
  <si>
    <t>SBSI</t>
  </si>
  <si>
    <t>PRGO</t>
  </si>
  <si>
    <t>AAP</t>
  </si>
  <si>
    <t>PEP</t>
  </si>
  <si>
    <t>NSC</t>
  </si>
  <si>
    <t>MWA</t>
  </si>
  <si>
    <t>AMT</t>
  </si>
  <si>
    <t>UNP</t>
  </si>
  <si>
    <t>XEL</t>
  </si>
  <si>
    <t>RHHBY</t>
  </si>
  <si>
    <t>IFF</t>
  </si>
  <si>
    <t>INGR</t>
  </si>
  <si>
    <t>MCD</t>
  </si>
  <si>
    <t>RTX</t>
  </si>
  <si>
    <t>HSY</t>
  </si>
  <si>
    <t>TR</t>
  </si>
  <si>
    <t>HON</t>
  </si>
  <si>
    <t>NC</t>
  </si>
  <si>
    <t>NVO</t>
  </si>
  <si>
    <t>RMD</t>
  </si>
  <si>
    <t>AJG</t>
  </si>
  <si>
    <t>WTRG</t>
  </si>
  <si>
    <t>TT</t>
  </si>
  <si>
    <t>CNI</t>
  </si>
  <si>
    <t>ERIE</t>
  </si>
  <si>
    <t>FRT</t>
  </si>
  <si>
    <t>NEE</t>
  </si>
  <si>
    <t>CFR</t>
  </si>
  <si>
    <t>OTIS</t>
  </si>
  <si>
    <t>ESS</t>
  </si>
  <si>
    <t>APD</t>
  </si>
  <si>
    <t>UMBF</t>
  </si>
  <si>
    <t>WM</t>
  </si>
  <si>
    <t>ROK</t>
  </si>
  <si>
    <t>TSCO</t>
  </si>
  <si>
    <t>EBAY</t>
  </si>
  <si>
    <t>CBU</t>
  </si>
  <si>
    <t>LLY</t>
  </si>
  <si>
    <t>XYL</t>
  </si>
  <si>
    <t>VALE</t>
  </si>
  <si>
    <t>MCHP</t>
  </si>
  <si>
    <t>HMLP</t>
  </si>
  <si>
    <t>VTRS</t>
  </si>
  <si>
    <t>MFGP</t>
  </si>
  <si>
    <t>FL</t>
  </si>
  <si>
    <t>JACK</t>
  </si>
  <si>
    <t>COLD</t>
  </si>
  <si>
    <t>MDC</t>
  </si>
  <si>
    <t>SJI</t>
  </si>
  <si>
    <t>SMG</t>
  </si>
  <si>
    <t>TX</t>
  </si>
  <si>
    <t>TRTN</t>
  </si>
  <si>
    <t>DKS</t>
  </si>
  <si>
    <t>ALL</t>
  </si>
  <si>
    <t>PHM</t>
  </si>
  <si>
    <t>MMP</t>
  </si>
  <si>
    <t>PNW</t>
  </si>
  <si>
    <t>BTI</t>
  </si>
  <si>
    <t>LRCX</t>
  </si>
  <si>
    <t>OGS</t>
  </si>
  <si>
    <t>DHI</t>
  </si>
  <si>
    <t>ALLY</t>
  </si>
  <si>
    <t>SNY</t>
  </si>
  <si>
    <t>OGE</t>
  </si>
  <si>
    <t>HPQ</t>
  </si>
  <si>
    <t>KSS</t>
  </si>
  <si>
    <t>TYCB</t>
  </si>
  <si>
    <t>HPE</t>
  </si>
  <si>
    <t>MKTX</t>
  </si>
  <si>
    <t>FNF</t>
  </si>
  <si>
    <t>NHI</t>
  </si>
  <si>
    <t>IPPLF</t>
  </si>
  <si>
    <t>POR</t>
  </si>
  <si>
    <t>THO</t>
  </si>
  <si>
    <t>LYB</t>
  </si>
  <si>
    <t>LNC</t>
  </si>
  <si>
    <t>UL</t>
  </si>
  <si>
    <t>GPS</t>
  </si>
  <si>
    <t>CCI</t>
  </si>
  <si>
    <t>EVRG</t>
  </si>
  <si>
    <t>SAXPY</t>
  </si>
  <si>
    <t>AEG</t>
  </si>
  <si>
    <t>PFG</t>
  </si>
  <si>
    <t>KLAC</t>
  </si>
  <si>
    <t>DDAIF</t>
  </si>
  <si>
    <t>FAF</t>
  </si>
  <si>
    <t>SUN</t>
  </si>
  <si>
    <t>ALE</t>
  </si>
  <si>
    <t>TTE</t>
  </si>
  <si>
    <t>NAVI</t>
  </si>
  <si>
    <t>MPLX</t>
  </si>
  <si>
    <t>TM</t>
  </si>
  <si>
    <t>BASFY</t>
  </si>
  <si>
    <t>IVZ</t>
  </si>
  <si>
    <t>CPB</t>
  </si>
  <si>
    <t>JBL</t>
  </si>
  <si>
    <t>PKX</t>
  </si>
  <si>
    <t>CE</t>
  </si>
  <si>
    <t>C</t>
  </si>
  <si>
    <t>FLO</t>
  </si>
  <si>
    <t>DFS</t>
  </si>
  <si>
    <t>RCI</t>
  </si>
  <si>
    <t>GIS</t>
  </si>
  <si>
    <t>SYF</t>
  </si>
  <si>
    <t>BWA</t>
  </si>
  <si>
    <t>SVC</t>
  </si>
  <si>
    <t>PRU</t>
  </si>
  <si>
    <t>NLSN</t>
  </si>
  <si>
    <t>BMWYY</t>
  </si>
  <si>
    <t>WFC</t>
  </si>
  <si>
    <t>SO</t>
  </si>
  <si>
    <t>PM</t>
  </si>
  <si>
    <t>BUD</t>
  </si>
  <si>
    <t>RGA</t>
  </si>
  <si>
    <t>O</t>
  </si>
  <si>
    <t>CFG</t>
  </si>
  <si>
    <t>OKE</t>
  </si>
  <si>
    <t>PDCO</t>
  </si>
  <si>
    <t>ITUB</t>
  </si>
  <si>
    <t>WEC</t>
  </si>
  <si>
    <t>GNTX</t>
  </si>
  <si>
    <t>WY</t>
  </si>
  <si>
    <t>XOM</t>
  </si>
  <si>
    <t>MGA</t>
  </si>
  <si>
    <t>PNC</t>
  </si>
  <si>
    <t>BK</t>
  </si>
  <si>
    <t>OSK</t>
  </si>
  <si>
    <t>JPM</t>
  </si>
  <si>
    <t>AON</t>
  </si>
  <si>
    <t>KEY</t>
  </si>
  <si>
    <t>CVX</t>
  </si>
  <si>
    <t>VIAC</t>
  </si>
  <si>
    <t>MA</t>
  </si>
  <si>
    <t>WPC</t>
  </si>
  <si>
    <t>FCX</t>
  </si>
  <si>
    <t>CUBE</t>
  </si>
  <si>
    <t>ASML</t>
  </si>
  <si>
    <t>R</t>
  </si>
  <si>
    <t>AGM</t>
  </si>
  <si>
    <t>GOLD</t>
  </si>
  <si>
    <t>PSB</t>
  </si>
  <si>
    <t>DUK</t>
  </si>
  <si>
    <t>PEG</t>
  </si>
  <si>
    <t>HOG</t>
  </si>
  <si>
    <t>STZ</t>
  </si>
  <si>
    <t>KLIC</t>
  </si>
  <si>
    <t>NNN</t>
  </si>
  <si>
    <t>MMC</t>
  </si>
  <si>
    <t>BAC</t>
  </si>
  <si>
    <t>ESRT</t>
  </si>
  <si>
    <t>DLR</t>
  </si>
  <si>
    <t>FITB</t>
  </si>
  <si>
    <t>CMA</t>
  </si>
  <si>
    <t>SBUX</t>
  </si>
  <si>
    <t>MRVL</t>
  </si>
  <si>
    <t>APLE</t>
  </si>
  <si>
    <t>PAYX</t>
  </si>
  <si>
    <t>EAF</t>
  </si>
  <si>
    <t>GS</t>
  </si>
  <si>
    <t>NSRGY</t>
  </si>
  <si>
    <t>PSA</t>
  </si>
  <si>
    <t>ABB</t>
  </si>
  <si>
    <t>M</t>
  </si>
  <si>
    <t>GLOP</t>
  </si>
  <si>
    <t>DEO</t>
  </si>
  <si>
    <t>TER</t>
  </si>
  <si>
    <t>PACW</t>
  </si>
  <si>
    <t>FAST</t>
  </si>
  <si>
    <t>HAL</t>
  </si>
  <si>
    <t>RACE</t>
  </si>
  <si>
    <t>AVB</t>
  </si>
  <si>
    <t>NVDA</t>
  </si>
  <si>
    <t>KSU</t>
  </si>
  <si>
    <t>KKR</t>
  </si>
  <si>
    <t>AUY</t>
  </si>
  <si>
    <t>LOGI</t>
  </si>
  <si>
    <t>STLD</t>
  </si>
  <si>
    <t>MT</t>
  </si>
  <si>
    <t>INFY</t>
  </si>
  <si>
    <t>GE</t>
  </si>
  <si>
    <t>SONY</t>
  </si>
  <si>
    <t>TRI</t>
  </si>
  <si>
    <t>APA</t>
  </si>
  <si>
    <t>TRGP</t>
  </si>
  <si>
    <t>VMC</t>
  </si>
  <si>
    <t>OLN</t>
  </si>
  <si>
    <t>DHC</t>
  </si>
  <si>
    <t>ERF</t>
  </si>
  <si>
    <t>SHLX</t>
  </si>
  <si>
    <t>PBR</t>
  </si>
  <si>
    <t>GORO</t>
  </si>
  <si>
    <t>PGR</t>
  </si>
  <si>
    <t>UNIT</t>
  </si>
  <si>
    <t>TPR</t>
  </si>
  <si>
    <t>SPH</t>
  </si>
  <si>
    <t>PFE</t>
  </si>
  <si>
    <t>HEP</t>
  </si>
  <si>
    <t>TAP</t>
  </si>
  <si>
    <t>SLG</t>
  </si>
  <si>
    <t>MS</t>
  </si>
  <si>
    <t>BAYRY</t>
  </si>
  <si>
    <t>AZN</t>
  </si>
  <si>
    <t>PAA</t>
  </si>
  <si>
    <t>TGP</t>
  </si>
  <si>
    <t>AVAL</t>
  </si>
  <si>
    <t>BHP</t>
  </si>
  <si>
    <t>D</t>
  </si>
  <si>
    <t>HAS</t>
  </si>
  <si>
    <t>DRI</t>
  </si>
  <si>
    <t>ERIC</t>
  </si>
  <si>
    <t>ALV</t>
  </si>
  <si>
    <t>HSBC</t>
  </si>
  <si>
    <t>MFC</t>
  </si>
  <si>
    <t>PHG</t>
  </si>
  <si>
    <t>WASH</t>
  </si>
  <si>
    <t>DD</t>
  </si>
  <si>
    <t>TRST</t>
  </si>
  <si>
    <t>IMBBY</t>
  </si>
  <si>
    <t>PETS</t>
  </si>
  <si>
    <t>SAFE</t>
  </si>
  <si>
    <t>XRX</t>
  </si>
  <si>
    <t>WSBC</t>
  </si>
  <si>
    <t>TFC</t>
  </si>
  <si>
    <t>ET</t>
  </si>
  <si>
    <t>NGG</t>
  </si>
  <si>
    <t>PTR</t>
  </si>
  <si>
    <t>NEM</t>
  </si>
  <si>
    <t>DOW</t>
  </si>
  <si>
    <t>OPI</t>
  </si>
  <si>
    <t>FRFHF</t>
  </si>
  <si>
    <t>NYCB</t>
  </si>
  <si>
    <t>PGRE</t>
  </si>
  <si>
    <t>RF</t>
  </si>
  <si>
    <t>BP</t>
  </si>
  <si>
    <t>ROST</t>
  </si>
  <si>
    <t>SU</t>
  </si>
  <si>
    <t>FE</t>
  </si>
  <si>
    <t>NWL</t>
  </si>
  <si>
    <t>CAG</t>
  </si>
  <si>
    <t>AMCR</t>
  </si>
  <si>
    <t>NRZ</t>
  </si>
  <si>
    <t>SPG</t>
  </si>
  <si>
    <t>MPW</t>
  </si>
  <si>
    <t>HASI</t>
  </si>
  <si>
    <t>CNP</t>
  </si>
  <si>
    <t>CNA</t>
  </si>
  <si>
    <t>STN</t>
  </si>
  <si>
    <t>RDS.B</t>
  </si>
  <si>
    <t>CC</t>
  </si>
  <si>
    <t>INVH</t>
  </si>
  <si>
    <t>PCAR</t>
  </si>
  <si>
    <t>NTR</t>
  </si>
  <si>
    <t>MCY</t>
  </si>
  <si>
    <t>HIW</t>
  </si>
  <si>
    <t>JNPR</t>
  </si>
  <si>
    <t>WPP</t>
  </si>
  <si>
    <t>RIO</t>
  </si>
  <si>
    <t>DEI</t>
  </si>
  <si>
    <t>AVGO</t>
  </si>
  <si>
    <t>BBD</t>
  </si>
  <si>
    <t>SBS</t>
  </si>
  <si>
    <t>PDM</t>
  </si>
  <si>
    <t>EMRAF</t>
  </si>
  <si>
    <t>WMB</t>
  </si>
  <si>
    <t>GEL</t>
  </si>
  <si>
    <t>SMFG</t>
  </si>
  <si>
    <t>LMRK</t>
  </si>
  <si>
    <t>HMC</t>
  </si>
  <si>
    <t>WSR</t>
  </si>
  <si>
    <t>STX</t>
  </si>
  <si>
    <t>KMI</t>
  </si>
  <si>
    <t>DEA</t>
  </si>
  <si>
    <t>KHC</t>
  </si>
  <si>
    <t>TJX</t>
  </si>
  <si>
    <t>IP</t>
  </si>
  <si>
    <t>AGNC</t>
  </si>
  <si>
    <t>NTAP</t>
  </si>
  <si>
    <t>GLW</t>
  </si>
  <si>
    <t>TS</t>
  </si>
  <si>
    <t>REG</t>
  </si>
  <si>
    <t>AES</t>
  </si>
  <si>
    <t>UE</t>
  </si>
  <si>
    <t>BXP</t>
  </si>
  <si>
    <t>HBAN</t>
  </si>
  <si>
    <t>EQNR</t>
  </si>
  <si>
    <t>KTB</t>
  </si>
  <si>
    <t>NSP</t>
  </si>
  <si>
    <t>CORR</t>
  </si>
  <si>
    <t>TU</t>
  </si>
  <si>
    <t>CAJ</t>
  </si>
  <si>
    <t>MPWR</t>
  </si>
  <si>
    <t>VER</t>
  </si>
  <si>
    <t>EGP</t>
  </si>
  <si>
    <t>PLD</t>
  </si>
  <si>
    <t>TSM</t>
  </si>
  <si>
    <t>ING</t>
  </si>
  <si>
    <t>SUUIF</t>
  </si>
  <si>
    <t>WRK</t>
  </si>
  <si>
    <t>DOC</t>
  </si>
  <si>
    <t>MAC</t>
  </si>
  <si>
    <t>SKT</t>
  </si>
  <si>
    <t>PLYM</t>
  </si>
  <si>
    <t>HUN</t>
  </si>
  <si>
    <t>USB</t>
  </si>
  <si>
    <t>KRG</t>
  </si>
  <si>
    <t>UBS</t>
  </si>
  <si>
    <t>APO</t>
  </si>
  <si>
    <t>COR</t>
  </si>
  <si>
    <t>GRMN</t>
  </si>
  <si>
    <t>PSO</t>
  </si>
  <si>
    <t>BRX</t>
  </si>
  <si>
    <t>EXPO</t>
  </si>
  <si>
    <t>ARE</t>
  </si>
  <si>
    <t>EOG</t>
  </si>
  <si>
    <t>TRSWF</t>
  </si>
  <si>
    <t>EXC</t>
  </si>
  <si>
    <t>CWEN</t>
  </si>
  <si>
    <t>LXP</t>
  </si>
  <si>
    <t>CF</t>
  </si>
  <si>
    <t>WPM</t>
  </si>
  <si>
    <t>CNQ</t>
  </si>
  <si>
    <t>ACN</t>
  </si>
  <si>
    <t>SLB</t>
  </si>
  <si>
    <t>JCI</t>
  </si>
  <si>
    <t>CME</t>
  </si>
  <si>
    <t>AMH</t>
  </si>
  <si>
    <t>ETN</t>
  </si>
  <si>
    <t>COP</t>
  </si>
  <si>
    <t>CPT</t>
  </si>
  <si>
    <t>MAA</t>
  </si>
  <si>
    <t>KIM</t>
  </si>
  <si>
    <t>OGZPY</t>
  </si>
  <si>
    <t>SCHL</t>
  </si>
  <si>
    <t>LAMR</t>
  </si>
  <si>
    <t>PPL</t>
  </si>
  <si>
    <t>ARLP</t>
  </si>
  <si>
    <t>IIPR</t>
  </si>
  <si>
    <t>TEF</t>
  </si>
  <si>
    <t>APAM</t>
  </si>
  <si>
    <t>CLPR</t>
  </si>
  <si>
    <t>ORAN</t>
  </si>
  <si>
    <t>VGR</t>
  </si>
  <si>
    <t>SNP</t>
  </si>
  <si>
    <t>SCCO</t>
  </si>
  <si>
    <t>OHI</t>
  </si>
  <si>
    <t>PSXP</t>
  </si>
  <si>
    <t>GECC</t>
  </si>
  <si>
    <t>IEP</t>
  </si>
  <si>
    <t>LUMN</t>
  </si>
  <si>
    <t>MRCC</t>
  </si>
  <si>
    <t>CTO</t>
  </si>
  <si>
    <t>PINE</t>
  </si>
  <si>
    <t>NEWT</t>
  </si>
  <si>
    <t>PMT</t>
  </si>
  <si>
    <t>VICI</t>
  </si>
  <si>
    <t>LTC</t>
  </si>
  <si>
    <t>CTRE</t>
  </si>
  <si>
    <t>WEN</t>
  </si>
  <si>
    <t>PSX</t>
  </si>
  <si>
    <t>SSREY</t>
  </si>
  <si>
    <t>WSO</t>
  </si>
  <si>
    <t>MGP</t>
  </si>
  <si>
    <t>QSR</t>
  </si>
  <si>
    <t>DHT</t>
  </si>
  <si>
    <t>CQP</t>
  </si>
  <si>
    <t>AFIN</t>
  </si>
  <si>
    <t>GSK</t>
  </si>
  <si>
    <t>CWCO</t>
  </si>
  <si>
    <t>SBRA</t>
  </si>
  <si>
    <t>EFC</t>
  </si>
  <si>
    <t>TWO</t>
  </si>
  <si>
    <t>FCPT</t>
  </si>
  <si>
    <t>UMH</t>
  </si>
  <si>
    <t>ORC</t>
  </si>
  <si>
    <t>SRC</t>
  </si>
  <si>
    <t>VOD</t>
  </si>
  <si>
    <t>ORCC</t>
  </si>
  <si>
    <t>GSBD</t>
  </si>
  <si>
    <t>TRP</t>
  </si>
  <si>
    <t>AAT</t>
  </si>
  <si>
    <t>USAC</t>
  </si>
  <si>
    <t>HR</t>
  </si>
  <si>
    <t>AQN</t>
  </si>
  <si>
    <t>NLY</t>
  </si>
  <si>
    <t>SJT</t>
  </si>
  <si>
    <t>SFL</t>
  </si>
  <si>
    <t>CHCT</t>
  </si>
  <si>
    <t>GNL</t>
  </si>
  <si>
    <t>VIA</t>
  </si>
  <si>
    <t>NYMT</t>
  </si>
  <si>
    <t>CBRL</t>
  </si>
  <si>
    <t>KREF</t>
  </si>
  <si>
    <t>EPR</t>
  </si>
  <si>
    <t>VST</t>
  </si>
  <si>
    <t>BRMK</t>
  </si>
  <si>
    <t>EIFZF</t>
  </si>
  <si>
    <t>BGS</t>
  </si>
  <si>
    <t>NTST</t>
  </si>
  <si>
    <t>LWSCF</t>
  </si>
  <si>
    <t>GMRE</t>
  </si>
  <si>
    <t>EVA</t>
  </si>
  <si>
    <t>ACRE</t>
  </si>
  <si>
    <t>ABEV</t>
  </si>
  <si>
    <t>DTEGY</t>
  </si>
  <si>
    <t>FDUS</t>
  </si>
  <si>
    <t>EXR</t>
  </si>
  <si>
    <t>APTS</t>
  </si>
  <si>
    <t>KNOP</t>
  </si>
  <si>
    <t>STWD</t>
  </si>
  <si>
    <t>EPRT</t>
  </si>
  <si>
    <t>ADC</t>
  </si>
  <si>
    <t>GBDC</t>
  </si>
  <si>
    <t>PFLT</t>
  </si>
  <si>
    <t>IDEXY</t>
  </si>
  <si>
    <t>NSA</t>
  </si>
  <si>
    <t>VNO</t>
  </si>
  <si>
    <t>CSWC</t>
  </si>
  <si>
    <t>BEP</t>
  </si>
  <si>
    <t>TSLX</t>
  </si>
  <si>
    <t>HRZN</t>
  </si>
  <si>
    <t>IRT</t>
  </si>
  <si>
    <t>ARR</t>
  </si>
  <si>
    <t>OXSQ</t>
  </si>
  <si>
    <t>GOOD</t>
  </si>
  <si>
    <t>NMFC</t>
  </si>
  <si>
    <t>STOR</t>
  </si>
  <si>
    <t>SACH</t>
  </si>
  <si>
    <t>ARCC</t>
  </si>
  <si>
    <t>ILPT</t>
  </si>
  <si>
    <t>TPVG</t>
  </si>
  <si>
    <t>HTA</t>
  </si>
  <si>
    <t>GLPI</t>
  </si>
  <si>
    <t>VTR</t>
  </si>
  <si>
    <t>EIC</t>
  </si>
  <si>
    <t>VLO</t>
  </si>
  <si>
    <t>SCM</t>
  </si>
  <si>
    <t>CIM</t>
  </si>
  <si>
    <t>DANOY</t>
  </si>
  <si>
    <t>LSI</t>
  </si>
  <si>
    <t>MAIN</t>
  </si>
  <si>
    <t>E</t>
  </si>
  <si>
    <t>IRM</t>
  </si>
  <si>
    <t>HTGC</t>
  </si>
  <si>
    <t>ACC</t>
  </si>
  <si>
    <t>BCE</t>
  </si>
  <si>
    <t>PSEC</t>
  </si>
  <si>
    <t>AM</t>
  </si>
  <si>
    <t>OLP</t>
  </si>
  <si>
    <t>BXMT</t>
  </si>
  <si>
    <t>PBA</t>
  </si>
  <si>
    <t>EQR</t>
  </si>
  <si>
    <t>LADR</t>
  </si>
  <si>
    <t>SUNS</t>
  </si>
  <si>
    <t>SBR</t>
  </si>
  <si>
    <t>UDR</t>
  </si>
  <si>
    <t>MNR</t>
  </si>
  <si>
    <t>SJR</t>
  </si>
  <si>
    <t>PRT</t>
  </si>
  <si>
    <t>STAG</t>
  </si>
  <si>
    <t>PEAK</t>
  </si>
  <si>
    <t>GAIN</t>
  </si>
  <si>
    <t>DRETF</t>
  </si>
  <si>
    <t>GLAD</t>
  </si>
  <si>
    <t>BKR</t>
  </si>
  <si>
    <t>UBA</t>
  </si>
  <si>
    <t>CODI</t>
  </si>
  <si>
    <t>ABR</t>
  </si>
  <si>
    <t>CRT</t>
  </si>
  <si>
    <t>MPC</t>
  </si>
  <si>
    <t>PPRQF</t>
  </si>
  <si>
    <t>GWRS</t>
  </si>
  <si>
    <t>LAND</t>
  </si>
  <si>
    <t>DREUF</t>
  </si>
  <si>
    <t>WELL</t>
  </si>
  <si>
    <t>PBT</t>
  </si>
  <si>
    <t>CMP</t>
  </si>
  <si>
    <t>ARI</t>
  </si>
  <si>
    <t>AB</t>
  </si>
  <si>
    <t>OXY</t>
  </si>
  <si>
    <t>HP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</si>
  <si>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</si>
  <si>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</si>
  <si>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</si>
  <si>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</si>
  <si>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</si>
  <si>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</si>
  <si>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</si>
  <si>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</si>
  <si>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</si>
  <si>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</si>
  <si>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CHRRF</t>
  </si>
  <si>
    <t>NGL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</si>
  <si>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</si>
  <si>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</si>
  <si>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</si>
  <si>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</si>
  <si>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</si>
  <si>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</si>
  <si>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</si>
  <si>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</si>
  <si>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</si>
  <si>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</si>
  <si>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</si>
  <si>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</si>
  <si>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</si>
  <si>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Defensive</t>
  </si>
  <si>
    <t>Financial Services</t>
  </si>
  <si>
    <t>Utilities</t>
  </si>
  <si>
    <t>Consumer Cyclical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</si>
  <si>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</si>
  <si>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</si>
  <si>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</si>
  <si>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</si>
  <si>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</si>
  <si>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</si>
  <si>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</si>
  <si>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Aristofanis Papadatos</t>
  </si>
  <si>
    <t>Eli Inkrot</t>
  </si>
  <si>
    <t>Felix Martinez</t>
  </si>
  <si>
    <t>Prakash Kolli</t>
  </si>
  <si>
    <t>Samuel Smith</t>
  </si>
  <si>
    <t>Kay Ng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</si>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</sst>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64.06999999999999</v>
      </c>
      <c r="D2">
        <v>75</v>
      </c>
      <c r="E2">
        <v>0.8542666666666666</v>
      </c>
      <c r="F2">
        <v>0.004214140783518028</v>
      </c>
      <c r="G2">
        <v>0.03200382719736816</v>
      </c>
      <c r="H2">
        <v>0.18</v>
      </c>
      <c r="I2">
        <v>0.2211954207119173</v>
      </c>
      <c r="J2" t="s">
        <v>772</v>
      </c>
      <c r="K2" t="s">
        <v>378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-0.120049504950495</v>
      </c>
      <c r="R2" t="s">
        <v>776</v>
      </c>
      <c r="S2" t="s">
        <v>780</v>
      </c>
      <c r="T2">
        <v>614064.4341740001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56.94</v>
      </c>
      <c r="D3">
        <v>101</v>
      </c>
      <c r="E3">
        <v>0.5637623762376237</v>
      </c>
      <c r="F3">
        <v>0.03442219880576045</v>
      </c>
      <c r="G3">
        <v>0.1214522385976335</v>
      </c>
      <c r="H3">
        <v>0.03</v>
      </c>
      <c r="I3">
        <v>0.1767010761835808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-0.016836423548755</v>
      </c>
      <c r="R3" t="s">
        <v>776</v>
      </c>
      <c r="S3" t="s">
        <v>781</v>
      </c>
      <c r="T3">
        <v>129682.546953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98.25</v>
      </c>
      <c r="D4">
        <v>146</v>
      </c>
      <c r="E4">
        <v>0.672945205479452</v>
      </c>
      <c r="F4">
        <v>0.01221374045801527</v>
      </c>
      <c r="G4">
        <v>0.08244056512601272</v>
      </c>
      <c r="H4">
        <v>0.055</v>
      </c>
      <c r="I4">
        <v>0.1512057294074034</v>
      </c>
      <c r="J4" t="s">
        <v>772</v>
      </c>
      <c r="K4" t="s">
        <v>378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-0.182795095118984</v>
      </c>
      <c r="R4" t="s">
        <v>776</v>
      </c>
      <c r="S4" t="s">
        <v>782</v>
      </c>
      <c r="T4">
        <v>6495.466317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44.84</v>
      </c>
      <c r="D5">
        <v>61</v>
      </c>
      <c r="E5">
        <v>0.7350819672131148</v>
      </c>
      <c r="F5">
        <v>0.01694915254237288</v>
      </c>
      <c r="G5">
        <v>0.06348861799014149</v>
      </c>
      <c r="H5">
        <v>0.05</v>
      </c>
      <c r="I5">
        <v>0.1283300493474167</v>
      </c>
      <c r="J5" t="s">
        <v>772</v>
      </c>
      <c r="K5" t="s">
        <v>773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0.322082646274064</v>
      </c>
      <c r="R5" t="s">
        <v>776</v>
      </c>
      <c r="S5" t="s">
        <v>783</v>
      </c>
      <c r="T5">
        <v>3035.264879</v>
      </c>
      <c r="U5" s="2">
        <v>44453</v>
      </c>
      <c r="V5" t="s">
        <v>794</v>
      </c>
    </row>
    <row r="6" spans="1:22">
      <c r="A6" s="1" t="s">
        <v>26</v>
      </c>
      <c r="B6">
        <f>HYPERLINK("https://www.suredividend.com/sure-analysis-FDX/","Fedex Corp")</f>
        <v>0</v>
      </c>
      <c r="C6">
        <v>227.98</v>
      </c>
      <c r="D6">
        <v>296</v>
      </c>
      <c r="E6">
        <v>0.7702027027027026</v>
      </c>
      <c r="F6">
        <v>0.01315904903938942</v>
      </c>
      <c r="G6">
        <v>0.05360783697582772</v>
      </c>
      <c r="H6">
        <v>0.06</v>
      </c>
      <c r="I6">
        <v>0.126747314695302</v>
      </c>
      <c r="J6" t="s">
        <v>772</v>
      </c>
      <c r="K6" t="s">
        <v>378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-0.184648676886789</v>
      </c>
      <c r="R6" t="s">
        <v>776</v>
      </c>
      <c r="S6" t="s">
        <v>783</v>
      </c>
      <c r="T6">
        <v>60865.740831</v>
      </c>
      <c r="U6" s="2">
        <v>44464</v>
      </c>
      <c r="V6" t="s">
        <v>791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59.06</v>
      </c>
      <c r="D7">
        <v>64</v>
      </c>
      <c r="E7">
        <v>0.9228125</v>
      </c>
      <c r="F7">
        <v>0.01490010159160176</v>
      </c>
      <c r="G7">
        <v>0.01619559095279621</v>
      </c>
      <c r="H7">
        <v>0.09</v>
      </c>
      <c r="I7">
        <v>0.119904141108</v>
      </c>
      <c r="J7" t="s">
        <v>772</v>
      </c>
      <c r="K7" t="s">
        <v>773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0.169183382314608</v>
      </c>
      <c r="R7" t="s">
        <v>776</v>
      </c>
      <c r="S7" t="s">
        <v>783</v>
      </c>
      <c r="T7">
        <v>7286.878369</v>
      </c>
      <c r="U7" s="2">
        <v>44444</v>
      </c>
      <c r="V7" t="s">
        <v>795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40.26</v>
      </c>
      <c r="D8">
        <v>43</v>
      </c>
      <c r="E8">
        <v>0.9362790697674418</v>
      </c>
      <c r="F8">
        <v>0.01390958768007949</v>
      </c>
      <c r="G8">
        <v>0.01325542350617126</v>
      </c>
      <c r="H8">
        <v>0.09</v>
      </c>
      <c r="I8">
        <v>0.1167121700065914</v>
      </c>
      <c r="J8" t="s">
        <v>772</v>
      </c>
      <c r="K8" t="s">
        <v>378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0.036953435402984</v>
      </c>
      <c r="R8" t="s">
        <v>776</v>
      </c>
      <c r="S8" t="s">
        <v>782</v>
      </c>
      <c r="T8">
        <v>4483.673469</v>
      </c>
      <c r="U8" s="2">
        <v>44405</v>
      </c>
      <c r="V8" t="s">
        <v>791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238.45</v>
      </c>
      <c r="D9">
        <v>240</v>
      </c>
      <c r="E9">
        <v>0.9935416666666667</v>
      </c>
      <c r="F9">
        <v>0.01392325435101698</v>
      </c>
      <c r="G9">
        <v>0.001296695703367989</v>
      </c>
      <c r="H9">
        <v>0.1</v>
      </c>
      <c r="I9">
        <v>0.113854183120653</v>
      </c>
      <c r="J9" t="s">
        <v>772</v>
      </c>
      <c r="K9" t="s">
        <v>773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0.031461809266817</v>
      </c>
      <c r="R9" t="s">
        <v>776</v>
      </c>
      <c r="S9" t="s">
        <v>781</v>
      </c>
      <c r="T9">
        <v>69258.783809</v>
      </c>
      <c r="U9" s="2">
        <v>44419</v>
      </c>
      <c r="V9" t="s">
        <v>792</v>
      </c>
    </row>
    <row r="10" spans="1:22">
      <c r="A10" s="1" t="s">
        <v>30</v>
      </c>
      <c r="B10">
        <f>HYPERLINK("https://www.suredividend.com/sure-analysis-PH/","Parker-Hannifin Corp.")</f>
        <v>0</v>
      </c>
      <c r="C10">
        <v>295.78</v>
      </c>
      <c r="D10">
        <v>289</v>
      </c>
      <c r="E10">
        <v>1.023460207612457</v>
      </c>
      <c r="F10">
        <v>0.01392927175603489</v>
      </c>
      <c r="G10">
        <v>-0.004627111109212989</v>
      </c>
      <c r="H10">
        <v>0.1</v>
      </c>
      <c r="I10">
        <v>0.1076344269772811</v>
      </c>
      <c r="J10" t="s">
        <v>772</v>
      </c>
      <c r="K10" t="s">
        <v>773</v>
      </c>
      <c r="L10">
        <v>17.5</v>
      </c>
      <c r="M10">
        <v>4.12</v>
      </c>
      <c r="N10">
        <v>0.2354285714285714</v>
      </c>
      <c r="O10">
        <v>65</v>
      </c>
      <c r="P10">
        <v>0.10015574926841</v>
      </c>
      <c r="Q10">
        <v>0.355619576611728</v>
      </c>
      <c r="R10" t="s">
        <v>776</v>
      </c>
      <c r="S10" t="s">
        <v>783</v>
      </c>
      <c r="T10">
        <v>38303.573643</v>
      </c>
      <c r="U10" s="2">
        <v>44447</v>
      </c>
      <c r="V10" t="s">
        <v>796</v>
      </c>
    </row>
    <row r="11" spans="1:22">
      <c r="A11" s="1" t="s">
        <v>31</v>
      </c>
      <c r="B11">
        <f>HYPERLINK("https://www.suredividend.com/sure-analysis-WBA/","Walgreens Boots Alliance Inc")</f>
        <v>0</v>
      </c>
      <c r="C11">
        <v>48.4</v>
      </c>
      <c r="D11">
        <v>54</v>
      </c>
      <c r="E11">
        <v>0.8962962962962963</v>
      </c>
      <c r="F11">
        <v>0.03946280991735537</v>
      </c>
      <c r="G11">
        <v>0.02213834195454689</v>
      </c>
      <c r="H11">
        <v>0.05</v>
      </c>
      <c r="I11">
        <v>0.1057498640045531</v>
      </c>
      <c r="J11" t="s">
        <v>772</v>
      </c>
      <c r="K11" t="s">
        <v>772</v>
      </c>
      <c r="L11">
        <v>5.35</v>
      </c>
      <c r="M11">
        <v>1.91</v>
      </c>
      <c r="N11">
        <v>0.3570093457943925</v>
      </c>
      <c r="O11">
        <v>46</v>
      </c>
      <c r="P11">
        <v>0.0501982537579746</v>
      </c>
      <c r="Q11">
        <v>0.360536649942708</v>
      </c>
      <c r="R11" t="s">
        <v>776</v>
      </c>
      <c r="S11" t="s">
        <v>781</v>
      </c>
      <c r="T11">
        <v>42345.756553</v>
      </c>
      <c r="U11" s="2">
        <v>44483</v>
      </c>
      <c r="V11" t="s">
        <v>797</v>
      </c>
    </row>
    <row r="12" spans="1:22">
      <c r="A12" s="1" t="s">
        <v>32</v>
      </c>
      <c r="B12">
        <f>HYPERLINK("https://www.suredividend.com/sure-analysis-SWKS/","Skyworks Solutions, Inc.")</f>
        <v>0</v>
      </c>
      <c r="C12">
        <v>161.28</v>
      </c>
      <c r="D12">
        <v>156</v>
      </c>
      <c r="E12">
        <v>1.033846153846154</v>
      </c>
      <c r="F12">
        <v>0.01388888888888889</v>
      </c>
      <c r="G12">
        <v>-0.006635085491369153</v>
      </c>
      <c r="H12">
        <v>0.1</v>
      </c>
      <c r="I12">
        <v>0.1051338647347031</v>
      </c>
      <c r="J12" t="s">
        <v>772</v>
      </c>
      <c r="K12" t="s">
        <v>378</v>
      </c>
      <c r="L12">
        <v>10.41</v>
      </c>
      <c r="M12">
        <v>2.24</v>
      </c>
      <c r="N12">
        <v>0.2151777137367916</v>
      </c>
      <c r="O12">
        <v>7</v>
      </c>
      <c r="P12">
        <v>0.09022017694025841</v>
      </c>
      <c r="Q12">
        <v>0.06115541864838601</v>
      </c>
      <c r="R12" t="s">
        <v>776</v>
      </c>
      <c r="S12" t="s">
        <v>784</v>
      </c>
      <c r="T12">
        <v>26510.715773</v>
      </c>
      <c r="U12" s="2">
        <v>44443</v>
      </c>
      <c r="V12" t="s">
        <v>798</v>
      </c>
    </row>
    <row r="13" spans="1:22">
      <c r="A13" s="1" t="s">
        <v>33</v>
      </c>
      <c r="B13">
        <f>HYPERLINK("https://www.suredividend.com/sure-analysis-CAH/","Cardinal Health, Inc.")</f>
        <v>0</v>
      </c>
      <c r="C13">
        <v>47.63</v>
      </c>
      <c r="D13">
        <v>58</v>
      </c>
      <c r="E13">
        <v>0.8212068965517242</v>
      </c>
      <c r="F13">
        <v>0.04115053537686332</v>
      </c>
      <c r="G13">
        <v>0.04018235501850698</v>
      </c>
      <c r="H13">
        <v>0.03</v>
      </c>
      <c r="I13">
        <v>0.104428827319788</v>
      </c>
      <c r="J13" t="s">
        <v>772</v>
      </c>
      <c r="K13" t="s">
        <v>772</v>
      </c>
      <c r="L13">
        <v>5.75</v>
      </c>
      <c r="M13">
        <v>1.96</v>
      </c>
      <c r="N13">
        <v>0.3408695652173913</v>
      </c>
      <c r="O13">
        <v>34</v>
      </c>
      <c r="P13">
        <v>0.03959498820755258</v>
      </c>
      <c r="Q13">
        <v>0.030420107415033</v>
      </c>
      <c r="R13" t="s">
        <v>776</v>
      </c>
      <c r="S13" t="s">
        <v>781</v>
      </c>
      <c r="T13">
        <v>13773.560411</v>
      </c>
      <c r="U13" s="2">
        <v>44417</v>
      </c>
      <c r="V13" t="s">
        <v>797</v>
      </c>
    </row>
    <row r="14" spans="1:22">
      <c r="A14" s="1" t="s">
        <v>34</v>
      </c>
      <c r="B14">
        <f>HYPERLINK("https://www.suredividend.com/sure-analysis-TNC/","Tennant Co.")</f>
        <v>0</v>
      </c>
      <c r="C14">
        <v>76.62</v>
      </c>
      <c r="D14">
        <v>82</v>
      </c>
      <c r="E14">
        <v>0.9343902439024391</v>
      </c>
      <c r="F14">
        <v>0.01200730879665884</v>
      </c>
      <c r="G14">
        <v>0.01366474229453218</v>
      </c>
      <c r="H14">
        <v>0.08</v>
      </c>
      <c r="I14">
        <v>0.10426985289575</v>
      </c>
      <c r="J14" t="s">
        <v>772</v>
      </c>
      <c r="K14" t="s">
        <v>773</v>
      </c>
      <c r="L14">
        <v>4.3</v>
      </c>
      <c r="M14">
        <v>0.92</v>
      </c>
      <c r="N14">
        <v>0.213953488372093</v>
      </c>
      <c r="O14">
        <v>48</v>
      </c>
      <c r="P14">
        <v>0.04925151964895069</v>
      </c>
      <c r="Q14">
        <v>0.228593236841224</v>
      </c>
      <c r="R14" t="s">
        <v>776</v>
      </c>
      <c r="S14" t="s">
        <v>783</v>
      </c>
      <c r="T14">
        <v>1439.403493</v>
      </c>
      <c r="U14" s="2">
        <v>44424</v>
      </c>
      <c r="V14" t="s">
        <v>794</v>
      </c>
    </row>
    <row r="15" spans="1:22">
      <c r="A15" s="1" t="s">
        <v>35</v>
      </c>
      <c r="B15">
        <f>HYPERLINK("https://www.suredividend.com/sure-analysis-ABBV/","Abbvie Inc")</f>
        <v>0</v>
      </c>
      <c r="C15">
        <v>107.43</v>
      </c>
      <c r="D15">
        <v>126</v>
      </c>
      <c r="E15">
        <v>0.8526190476190477</v>
      </c>
      <c r="F15">
        <v>0.04840361165410034</v>
      </c>
      <c r="G15">
        <v>0.03240237244995958</v>
      </c>
      <c r="H15">
        <v>0.03</v>
      </c>
      <c r="I15">
        <v>0.1040777611142949</v>
      </c>
      <c r="J15" t="s">
        <v>772</v>
      </c>
      <c r="K15" t="s">
        <v>772</v>
      </c>
      <c r="L15">
        <v>12.57</v>
      </c>
      <c r="M15">
        <v>5.2</v>
      </c>
      <c r="N15">
        <v>0.4136833731105807</v>
      </c>
      <c r="O15">
        <v>49</v>
      </c>
      <c r="P15">
        <v>0.05010553388446692</v>
      </c>
      <c r="Q15">
        <v>0.328087228837216</v>
      </c>
      <c r="R15" t="s">
        <v>776</v>
      </c>
      <c r="S15" t="s">
        <v>781</v>
      </c>
      <c r="T15">
        <v>193205.300914</v>
      </c>
      <c r="U15" s="2">
        <v>44410</v>
      </c>
      <c r="V15" t="s">
        <v>794</v>
      </c>
    </row>
    <row r="16" spans="1:22">
      <c r="A16" s="1" t="s">
        <v>36</v>
      </c>
      <c r="B16">
        <f>HYPERLINK("https://www.suredividend.com/sure-analysis-SWK/","Stanley Black &amp; Decker Inc")</f>
        <v>0</v>
      </c>
      <c r="C16">
        <v>182.72</v>
      </c>
      <c r="D16">
        <v>190</v>
      </c>
      <c r="E16">
        <v>0.9616842105263158</v>
      </c>
      <c r="F16">
        <v>0.01729422066549912</v>
      </c>
      <c r="G16">
        <v>0.00784443677046931</v>
      </c>
      <c r="H16">
        <v>0.08</v>
      </c>
      <c r="I16">
        <v>0.1036487902739149</v>
      </c>
      <c r="J16" t="s">
        <v>772</v>
      </c>
      <c r="K16" t="s">
        <v>773</v>
      </c>
      <c r="L16">
        <v>11.5</v>
      </c>
      <c r="M16">
        <v>3.16</v>
      </c>
      <c r="N16">
        <v>0.2747826086956522</v>
      </c>
      <c r="O16">
        <v>53</v>
      </c>
      <c r="P16">
        <v>0.07985683020954282</v>
      </c>
      <c r="Q16">
        <v>0.04546901085292</v>
      </c>
      <c r="R16" t="s">
        <v>776</v>
      </c>
      <c r="S16" t="s">
        <v>783</v>
      </c>
      <c r="T16">
        <v>29605.319257</v>
      </c>
      <c r="U16" s="2">
        <v>44404</v>
      </c>
      <c r="V16" t="s">
        <v>792</v>
      </c>
    </row>
    <row r="17" spans="1:22">
      <c r="A17" s="1" t="s">
        <v>37</v>
      </c>
      <c r="B17">
        <f>HYPERLINK("https://www.suredividend.com/sure-analysis-ADM/","Archer Daniels Midland Co.")</f>
        <v>0</v>
      </c>
      <c r="C17">
        <v>63.8</v>
      </c>
      <c r="D17">
        <v>72</v>
      </c>
      <c r="E17">
        <v>0.8861111111111111</v>
      </c>
      <c r="F17">
        <v>0.0231974921630094</v>
      </c>
      <c r="G17">
        <v>0.02447735576388621</v>
      </c>
      <c r="H17">
        <v>0.06</v>
      </c>
      <c r="I17">
        <v>0.1036314194419081</v>
      </c>
      <c r="J17" t="s">
        <v>772</v>
      </c>
      <c r="K17" t="s">
        <v>772</v>
      </c>
      <c r="L17">
        <v>4.77</v>
      </c>
      <c r="M17">
        <v>1.48</v>
      </c>
      <c r="N17">
        <v>0.3102725366876311</v>
      </c>
      <c r="O17">
        <v>46</v>
      </c>
      <c r="P17">
        <v>0.03051269507716325</v>
      </c>
      <c r="Q17">
        <v>0.317665578742623</v>
      </c>
      <c r="R17" t="s">
        <v>776</v>
      </c>
      <c r="S17" t="s">
        <v>785</v>
      </c>
      <c r="T17">
        <v>35728.999935</v>
      </c>
      <c r="U17" s="2">
        <v>44426</v>
      </c>
      <c r="V17" t="s">
        <v>798</v>
      </c>
    </row>
    <row r="18" spans="1:22">
      <c r="A18" s="1" t="s">
        <v>38</v>
      </c>
      <c r="B18">
        <f>HYPERLINK("https://www.suredividend.com/sure-analysis-EFSI/","Eagle Financial Services, Inc.")</f>
        <v>0</v>
      </c>
      <c r="C18">
        <v>33.7</v>
      </c>
      <c r="D18">
        <v>37</v>
      </c>
      <c r="E18">
        <v>0.9108108108108108</v>
      </c>
      <c r="F18">
        <v>0.03323442136498516</v>
      </c>
      <c r="G18">
        <v>0.01885965343794149</v>
      </c>
      <c r="H18">
        <v>0.055</v>
      </c>
      <c r="I18">
        <v>0.1020127302959817</v>
      </c>
      <c r="J18" t="s">
        <v>772</v>
      </c>
      <c r="K18" t="s">
        <v>772</v>
      </c>
      <c r="L18">
        <v>3.4</v>
      </c>
      <c r="M18">
        <v>1.12</v>
      </c>
      <c r="N18">
        <v>0.3294117647058824</v>
      </c>
      <c r="O18">
        <v>35</v>
      </c>
      <c r="P18">
        <v>0.04563955259127317</v>
      </c>
      <c r="Q18">
        <v>0.374758295462889</v>
      </c>
      <c r="R18" t="s">
        <v>776</v>
      </c>
      <c r="S18" t="s">
        <v>786</v>
      </c>
      <c r="T18">
        <v>116.238175</v>
      </c>
      <c r="U18" s="2">
        <v>44408</v>
      </c>
      <c r="V18" t="s">
        <v>794</v>
      </c>
    </row>
    <row r="19" spans="1:22">
      <c r="A19" s="1" t="s">
        <v>39</v>
      </c>
      <c r="B19">
        <f>HYPERLINK("https://www.suredividend.com/sure-analysis-SYK/","Stryker Corp.")</f>
        <v>0</v>
      </c>
      <c r="C19">
        <v>262.05</v>
      </c>
      <c r="D19">
        <v>229</v>
      </c>
      <c r="E19">
        <v>1.144323144104804</v>
      </c>
      <c r="F19">
        <v>0.00961648540354894</v>
      </c>
      <c r="G19">
        <v>-0.02660241671169428</v>
      </c>
      <c r="H19">
        <v>0.12</v>
      </c>
      <c r="I19">
        <v>0.09972332377666282</v>
      </c>
      <c r="J19" t="s">
        <v>772</v>
      </c>
      <c r="K19" t="s">
        <v>378</v>
      </c>
      <c r="L19">
        <v>9.33</v>
      </c>
      <c r="M19">
        <v>2.52</v>
      </c>
      <c r="N19">
        <v>0.2700964630225081</v>
      </c>
      <c r="O19">
        <v>27</v>
      </c>
      <c r="P19">
        <v>0.1199444602155453</v>
      </c>
      <c r="Q19">
        <v>0.200613109728608</v>
      </c>
      <c r="R19" t="s">
        <v>776</v>
      </c>
      <c r="S19" t="s">
        <v>781</v>
      </c>
      <c r="T19">
        <v>100428.279159</v>
      </c>
      <c r="U19" s="2">
        <v>44405</v>
      </c>
      <c r="V19" t="s">
        <v>792</v>
      </c>
    </row>
    <row r="20" spans="1:22">
      <c r="A20" s="1" t="s">
        <v>40</v>
      </c>
      <c r="B20">
        <f>HYPERLINK("https://www.suredividend.com/sure-analysis-JW.A/","John Wiley &amp; Sons Inc.")</f>
        <v>0</v>
      </c>
      <c r="C20">
        <v>53.04</v>
      </c>
      <c r="D20">
        <v>62</v>
      </c>
      <c r="E20">
        <v>0.8554838709677419</v>
      </c>
      <c r="F20">
        <v>0.02601809954751131</v>
      </c>
      <c r="G20">
        <v>0.0317099876361322</v>
      </c>
      <c r="H20">
        <v>0.045</v>
      </c>
      <c r="I20">
        <v>0.09842139666357985</v>
      </c>
      <c r="J20" t="s">
        <v>772</v>
      </c>
      <c r="K20" t="s">
        <v>773</v>
      </c>
      <c r="L20">
        <v>4.12</v>
      </c>
      <c r="M20">
        <v>1.38</v>
      </c>
      <c r="N20">
        <v>0.3349514563106796</v>
      </c>
      <c r="O20">
        <v>28</v>
      </c>
      <c r="P20">
        <v>0.03002598081465924</v>
      </c>
      <c r="Q20">
        <v>0.6784539499871031</v>
      </c>
      <c r="R20" t="s">
        <v>776</v>
      </c>
      <c r="S20" t="s">
        <v>780</v>
      </c>
      <c r="T20">
        <v>2948.815424</v>
      </c>
      <c r="U20" s="2">
        <v>44453</v>
      </c>
      <c r="V20" t="s">
        <v>794</v>
      </c>
    </row>
    <row r="21" spans="1:22">
      <c r="A21" s="1" t="s">
        <v>41</v>
      </c>
      <c r="B21">
        <f>HYPERLINK("https://www.suredividend.com/sure-analysis-ATO/","Atmos Energy Corp.")</f>
        <v>0</v>
      </c>
      <c r="C21">
        <v>91.09999999999999</v>
      </c>
      <c r="D21">
        <v>97</v>
      </c>
      <c r="E21">
        <v>0.9391752577319588</v>
      </c>
      <c r="F21">
        <v>0.0274423710208562</v>
      </c>
      <c r="G21">
        <v>0.01262972459419465</v>
      </c>
      <c r="H21">
        <v>0.06</v>
      </c>
      <c r="I21">
        <v>0.09837759912012989</v>
      </c>
      <c r="J21" t="s">
        <v>772</v>
      </c>
      <c r="K21" t="s">
        <v>773</v>
      </c>
      <c r="L21">
        <v>5.1</v>
      </c>
      <c r="M21">
        <v>2.5</v>
      </c>
      <c r="N21">
        <v>0.4901960784313726</v>
      </c>
      <c r="O21">
        <v>37</v>
      </c>
      <c r="P21">
        <v>0.07980469415608438</v>
      </c>
      <c r="Q21">
        <v>0.003538281748228</v>
      </c>
      <c r="R21" t="s">
        <v>776</v>
      </c>
      <c r="S21" t="s">
        <v>787</v>
      </c>
      <c r="T21">
        <v>12163.545609</v>
      </c>
      <c r="U21" s="2">
        <v>44427</v>
      </c>
      <c r="V21" t="s">
        <v>795</v>
      </c>
    </row>
    <row r="22" spans="1:22">
      <c r="A22" s="1" t="s">
        <v>42</v>
      </c>
      <c r="B22">
        <f>HYPERLINK("https://www.suredividend.com/sure-analysis-UNM/","Unum Group")</f>
        <v>0</v>
      </c>
      <c r="C22">
        <v>27.53</v>
      </c>
      <c r="D22">
        <v>34</v>
      </c>
      <c r="E22">
        <v>0.8097058823529412</v>
      </c>
      <c r="F22">
        <v>0.04358881220486741</v>
      </c>
      <c r="G22">
        <v>0.04312064564897189</v>
      </c>
      <c r="H22">
        <v>0.02</v>
      </c>
      <c r="I22">
        <v>0.09779217845776533</v>
      </c>
      <c r="J22" t="s">
        <v>772</v>
      </c>
      <c r="K22" t="s">
        <v>772</v>
      </c>
      <c r="L22">
        <v>4.8</v>
      </c>
      <c r="M22">
        <v>1.2</v>
      </c>
      <c r="N22">
        <v>0.25</v>
      </c>
      <c r="O22">
        <v>13</v>
      </c>
      <c r="P22">
        <v>0.01924487649145656</v>
      </c>
      <c r="Q22">
        <v>0.5485965139672361</v>
      </c>
      <c r="R22" t="s">
        <v>776</v>
      </c>
      <c r="S22" t="s">
        <v>786</v>
      </c>
      <c r="T22">
        <v>5616.737227</v>
      </c>
      <c r="U22" s="2">
        <v>44415</v>
      </c>
      <c r="V22" t="s">
        <v>797</v>
      </c>
    </row>
    <row r="23" spans="1:22">
      <c r="A23" s="1" t="s">
        <v>43</v>
      </c>
      <c r="B23">
        <f>HYPERLINK("https://www.suredividend.com/sure-analysis-ANTM/","Anthem Inc")</f>
        <v>0</v>
      </c>
      <c r="C23">
        <v>388.21</v>
      </c>
      <c r="D23">
        <v>383</v>
      </c>
      <c r="E23">
        <v>1.013603133159269</v>
      </c>
      <c r="F23">
        <v>0.01164318281342572</v>
      </c>
      <c r="G23">
        <v>-0.002698640333803626</v>
      </c>
      <c r="H23">
        <v>0.09</v>
      </c>
      <c r="I23">
        <v>0.09772097482258757</v>
      </c>
      <c r="J23" t="s">
        <v>772</v>
      </c>
      <c r="K23" t="s">
        <v>378</v>
      </c>
      <c r="L23">
        <v>25.5</v>
      </c>
      <c r="M23">
        <v>4.52</v>
      </c>
      <c r="N23">
        <v>0.1772549019607843</v>
      </c>
      <c r="O23">
        <v>11</v>
      </c>
      <c r="P23">
        <v>0.0898563876885603</v>
      </c>
      <c r="Q23">
        <v>0.340254029372039</v>
      </c>
      <c r="R23" t="s">
        <v>776</v>
      </c>
      <c r="S23" t="s">
        <v>781</v>
      </c>
      <c r="T23">
        <v>95831.67441399999</v>
      </c>
      <c r="U23" s="2">
        <v>44398</v>
      </c>
      <c r="V23" t="s">
        <v>792</v>
      </c>
    </row>
    <row r="24" spans="1:22">
      <c r="A24" s="1" t="s">
        <v>44</v>
      </c>
      <c r="B24">
        <f>HYPERLINK("https://www.suredividend.com/sure-analysis-ROP/","Roper Technologies Inc")</f>
        <v>0</v>
      </c>
      <c r="C24">
        <v>468.53</v>
      </c>
      <c r="D24">
        <v>453</v>
      </c>
      <c r="E24">
        <v>1.034282560706402</v>
      </c>
      <c r="F24">
        <v>0.0048022538578106</v>
      </c>
      <c r="G24">
        <v>-0.006718928043685235</v>
      </c>
      <c r="H24">
        <v>0.1</v>
      </c>
      <c r="I24">
        <v>0.09709514532120012</v>
      </c>
      <c r="J24" t="s">
        <v>772</v>
      </c>
      <c r="K24" t="s">
        <v>378</v>
      </c>
      <c r="L24">
        <v>15.1</v>
      </c>
      <c r="M24">
        <v>2.25</v>
      </c>
      <c r="N24">
        <v>0.1490066225165563</v>
      </c>
      <c r="O24">
        <v>28</v>
      </c>
      <c r="P24">
        <v>0.09977846264348122</v>
      </c>
      <c r="Q24">
        <v>0.08210305474201</v>
      </c>
      <c r="R24" t="s">
        <v>776</v>
      </c>
      <c r="S24" t="s">
        <v>783</v>
      </c>
      <c r="T24">
        <v>49242.423294</v>
      </c>
      <c r="U24" s="2">
        <v>44401</v>
      </c>
      <c r="V24" t="s">
        <v>791</v>
      </c>
    </row>
    <row r="25" spans="1:22">
      <c r="A25" s="1" t="s">
        <v>45</v>
      </c>
      <c r="B25">
        <f>HYPERLINK("https://www.suredividend.com/sure-analysis-PII/","Polaris Inc")</f>
        <v>0</v>
      </c>
      <c r="C25">
        <v>132.2</v>
      </c>
      <c r="D25">
        <v>152</v>
      </c>
      <c r="E25">
        <v>0.869736842105263</v>
      </c>
      <c r="F25">
        <v>0.01906202723146748</v>
      </c>
      <c r="G25">
        <v>0.02830613427277329</v>
      </c>
      <c r="H25">
        <v>0.05</v>
      </c>
      <c r="I25">
        <v>0.09621145077841442</v>
      </c>
      <c r="J25" t="s">
        <v>772</v>
      </c>
      <c r="K25" t="s">
        <v>773</v>
      </c>
      <c r="L25">
        <v>9.48</v>
      </c>
      <c r="M25">
        <v>2.52</v>
      </c>
      <c r="N25">
        <v>0.2658227848101266</v>
      </c>
      <c r="O25">
        <v>26</v>
      </c>
      <c r="P25">
        <v>0.06483841633998533</v>
      </c>
      <c r="Q25">
        <v>0.388345135153537</v>
      </c>
      <c r="R25" t="s">
        <v>776</v>
      </c>
      <c r="S25" t="s">
        <v>788</v>
      </c>
      <c r="T25">
        <v>7906.994217</v>
      </c>
      <c r="U25" s="2">
        <v>44404</v>
      </c>
      <c r="V25" t="s">
        <v>797</v>
      </c>
    </row>
    <row r="26" spans="1:22">
      <c r="A26" s="1" t="s">
        <v>46</v>
      </c>
      <c r="B26">
        <f>HYPERLINK("https://www.suredividend.com/sure-analysis-BANF/","Bancfirst Corp.")</f>
        <v>0</v>
      </c>
      <c r="C26">
        <v>63.11</v>
      </c>
      <c r="D26">
        <v>68</v>
      </c>
      <c r="E26">
        <v>0.9280882352941177</v>
      </c>
      <c r="F26">
        <v>0.02154967517033751</v>
      </c>
      <c r="G26">
        <v>0.01503763834141192</v>
      </c>
      <c r="H26">
        <v>0.06</v>
      </c>
      <c r="I26">
        <v>0.09450490741897544</v>
      </c>
      <c r="J26" t="s">
        <v>772</v>
      </c>
      <c r="K26" t="s">
        <v>773</v>
      </c>
      <c r="L26">
        <v>4.55</v>
      </c>
      <c r="M26">
        <v>1.36</v>
      </c>
      <c r="N26">
        <v>0.2989010989010989</v>
      </c>
      <c r="O26">
        <v>28</v>
      </c>
      <c r="P26">
        <v>0.06000153927394081</v>
      </c>
      <c r="Q26">
        <v>0.4859662630363261</v>
      </c>
      <c r="R26" t="s">
        <v>776</v>
      </c>
      <c r="S26" t="s">
        <v>786</v>
      </c>
      <c r="T26">
        <v>2088.045633</v>
      </c>
      <c r="U26" s="2">
        <v>44399</v>
      </c>
      <c r="V26" t="s">
        <v>798</v>
      </c>
    </row>
    <row r="27" spans="1:22">
      <c r="A27" s="1" t="s">
        <v>47</v>
      </c>
      <c r="B27">
        <f>HYPERLINK("https://www.suredividend.com/sure-analysis-MDU/","MDU Resources Group Inc")</f>
        <v>0</v>
      </c>
      <c r="C27">
        <v>30.64</v>
      </c>
      <c r="D27">
        <v>34</v>
      </c>
      <c r="E27">
        <v>0.9011764705882354</v>
      </c>
      <c r="F27">
        <v>0.02774151436031332</v>
      </c>
      <c r="G27">
        <v>0.02102889140708109</v>
      </c>
      <c r="H27">
        <v>0.05</v>
      </c>
      <c r="I27">
        <v>0.09378753081981372</v>
      </c>
      <c r="J27" t="s">
        <v>772</v>
      </c>
      <c r="K27" t="s">
        <v>772</v>
      </c>
      <c r="L27">
        <v>2.1</v>
      </c>
      <c r="M27">
        <v>0.85</v>
      </c>
      <c r="N27">
        <v>0.4047619047619047</v>
      </c>
      <c r="O27">
        <v>30</v>
      </c>
      <c r="P27">
        <v>0.02463800770149693</v>
      </c>
      <c r="Q27">
        <v>0.321523850176075</v>
      </c>
      <c r="R27" t="s">
        <v>776</v>
      </c>
      <c r="S27" t="s">
        <v>782</v>
      </c>
      <c r="T27">
        <v>6267.261593</v>
      </c>
      <c r="U27" s="2">
        <v>44428</v>
      </c>
      <c r="V27" t="s">
        <v>795</v>
      </c>
    </row>
    <row r="28" spans="1:22">
      <c r="A28" s="1" t="s">
        <v>48</v>
      </c>
      <c r="B28">
        <f>HYPERLINK("https://www.suredividend.com/sure-analysis-SKM/","SK Telecom Co Ltd")</f>
        <v>0</v>
      </c>
      <c r="C28">
        <v>27.94</v>
      </c>
      <c r="D28">
        <v>30</v>
      </c>
      <c r="E28">
        <v>0.9313333333333333</v>
      </c>
      <c r="F28">
        <v>0.03579098067287043</v>
      </c>
      <c r="G28">
        <v>0.01432929966221641</v>
      </c>
      <c r="H28">
        <v>0.05</v>
      </c>
      <c r="I28">
        <v>0.09151352261587631</v>
      </c>
      <c r="J28" t="s">
        <v>772</v>
      </c>
      <c r="K28" t="s">
        <v>772</v>
      </c>
      <c r="L28">
        <v>9</v>
      </c>
      <c r="M28">
        <v>1</v>
      </c>
      <c r="N28">
        <v>0.1111111111111111</v>
      </c>
      <c r="O28">
        <v>0</v>
      </c>
      <c r="P28">
        <v>0</v>
      </c>
      <c r="Q28">
        <v>0.301940462963389</v>
      </c>
      <c r="R28" t="s">
        <v>776</v>
      </c>
      <c r="S28" t="s">
        <v>780</v>
      </c>
      <c r="T28">
        <v>18314.805945</v>
      </c>
      <c r="U28" s="2">
        <v>44439</v>
      </c>
      <c r="V28" t="s">
        <v>793</v>
      </c>
    </row>
    <row r="29" spans="1:22">
      <c r="A29" s="1" t="s">
        <v>49</v>
      </c>
      <c r="B29">
        <f>HYPERLINK("https://www.suredividend.com/sure-analysis-MATW/","Matthews International Corp.")</f>
        <v>0</v>
      </c>
      <c r="C29">
        <v>34.7</v>
      </c>
      <c r="D29">
        <v>42</v>
      </c>
      <c r="E29">
        <v>0.8261904761904763</v>
      </c>
      <c r="F29">
        <v>0.02478386167146974</v>
      </c>
      <c r="G29">
        <v>0.03892444058842703</v>
      </c>
      <c r="H29">
        <v>0.03</v>
      </c>
      <c r="I29">
        <v>0.09120453992115474</v>
      </c>
      <c r="J29" t="s">
        <v>772</v>
      </c>
      <c r="K29" t="s">
        <v>773</v>
      </c>
      <c r="L29">
        <v>3.25</v>
      </c>
      <c r="M29">
        <v>0.86</v>
      </c>
      <c r="N29">
        <v>0.2646153846153846</v>
      </c>
      <c r="O29">
        <v>27</v>
      </c>
      <c r="P29">
        <v>0.05045837224621441</v>
      </c>
      <c r="Q29">
        <v>0.5321026517496661</v>
      </c>
      <c r="R29" t="s">
        <v>776</v>
      </c>
      <c r="S29" t="s">
        <v>783</v>
      </c>
      <c r="T29">
        <v>1110.869259</v>
      </c>
      <c r="U29" s="2">
        <v>44417</v>
      </c>
      <c r="V29" t="s">
        <v>793</v>
      </c>
    </row>
    <row r="30" spans="1:22">
      <c r="A30" s="1" t="s">
        <v>50</v>
      </c>
      <c r="B30">
        <f>HYPERLINK("https://www.suredividend.com/sure-analysis-BKH/","Black Hills Corporation")</f>
        <v>0</v>
      </c>
      <c r="C30">
        <v>63.87</v>
      </c>
      <c r="D30">
        <v>70</v>
      </c>
      <c r="E30">
        <v>0.9124285714285714</v>
      </c>
      <c r="F30">
        <v>0.03538437451072491</v>
      </c>
      <c r="G30">
        <v>0.01849810376910721</v>
      </c>
      <c r="H30">
        <v>0.04</v>
      </c>
      <c r="I30">
        <v>0.08998609247910294</v>
      </c>
      <c r="J30" t="s">
        <v>772</v>
      </c>
      <c r="K30" t="s">
        <v>772</v>
      </c>
      <c r="L30">
        <v>3.9</v>
      </c>
      <c r="M30">
        <v>2.26</v>
      </c>
      <c r="N30">
        <v>0.5794871794871794</v>
      </c>
      <c r="O30">
        <v>49</v>
      </c>
      <c r="P30">
        <v>0.04967972745840021</v>
      </c>
      <c r="Q30">
        <v>0.149439610361867</v>
      </c>
      <c r="R30" t="s">
        <v>776</v>
      </c>
      <c r="S30" t="s">
        <v>787</v>
      </c>
      <c r="T30">
        <v>4098.921034</v>
      </c>
      <c r="U30" s="2">
        <v>44418</v>
      </c>
      <c r="V30" t="s">
        <v>794</v>
      </c>
    </row>
    <row r="31" spans="1:22">
      <c r="A31" s="1" t="s">
        <v>51</v>
      </c>
      <c r="B31">
        <f>HYPERLINK("https://www.suredividend.com/sure-analysis-WHR/","Whirlpool Corp.")</f>
        <v>0</v>
      </c>
      <c r="C31">
        <v>206.63</v>
      </c>
      <c r="D31">
        <v>286</v>
      </c>
      <c r="E31">
        <v>0.7224825174825175</v>
      </c>
      <c r="F31">
        <v>0.02710158253883754</v>
      </c>
      <c r="G31">
        <v>0.06717226930664855</v>
      </c>
      <c r="H31">
        <v>0</v>
      </c>
      <c r="I31">
        <v>0.08973211303964712</v>
      </c>
      <c r="J31" t="s">
        <v>772</v>
      </c>
      <c r="K31" t="s">
        <v>773</v>
      </c>
      <c r="L31">
        <v>26</v>
      </c>
      <c r="M31">
        <v>5.6</v>
      </c>
      <c r="N31">
        <v>0.2153846153846154</v>
      </c>
      <c r="O31">
        <v>11</v>
      </c>
      <c r="P31">
        <v>0.03990057173719119</v>
      </c>
      <c r="Q31">
        <v>0.051604521004111</v>
      </c>
      <c r="R31" t="s">
        <v>776</v>
      </c>
      <c r="S31" t="s">
        <v>788</v>
      </c>
      <c r="T31">
        <v>12962.066486</v>
      </c>
      <c r="U31" s="2">
        <v>44399</v>
      </c>
      <c r="V31" t="s">
        <v>797</v>
      </c>
    </row>
    <row r="32" spans="1:22">
      <c r="A32" s="1" t="s">
        <v>52</v>
      </c>
      <c r="B32">
        <f>HYPERLINK("https://www.suredividend.com/sure-analysis-QCOM/","Qualcomm, Inc.")</f>
        <v>0</v>
      </c>
      <c r="C32">
        <v>130.12</v>
      </c>
      <c r="D32">
        <v>130</v>
      </c>
      <c r="E32">
        <v>1.000923076923077</v>
      </c>
      <c r="F32">
        <v>0.02090378112511528</v>
      </c>
      <c r="G32">
        <v>-0.0001845132052580301</v>
      </c>
      <c r="H32">
        <v>0.07000000000000001</v>
      </c>
      <c r="I32">
        <v>0.08874417214634311</v>
      </c>
      <c r="J32" t="s">
        <v>772</v>
      </c>
      <c r="K32" t="s">
        <v>773</v>
      </c>
      <c r="L32">
        <v>8.26</v>
      </c>
      <c r="M32">
        <v>2.72</v>
      </c>
      <c r="N32">
        <v>0.3292978208232446</v>
      </c>
      <c r="O32">
        <v>19</v>
      </c>
      <c r="P32">
        <v>0.06972270615977982</v>
      </c>
      <c r="Q32">
        <v>0.028214295021689</v>
      </c>
      <c r="R32" t="s">
        <v>776</v>
      </c>
      <c r="S32" t="s">
        <v>784</v>
      </c>
      <c r="T32">
        <v>146865.6</v>
      </c>
      <c r="U32" s="2">
        <v>44407</v>
      </c>
      <c r="V32" t="s">
        <v>792</v>
      </c>
    </row>
    <row r="33" spans="1:22">
      <c r="A33" s="1" t="s">
        <v>53</v>
      </c>
      <c r="B33">
        <f>HYPERLINK("https://www.suredividend.com/sure-analysis-BRC/","Brady Corp.")</f>
        <v>0</v>
      </c>
      <c r="C33">
        <v>50.69</v>
      </c>
      <c r="D33">
        <v>57</v>
      </c>
      <c r="E33">
        <v>0.889298245614035</v>
      </c>
      <c r="F33">
        <v>0.01775498125863089</v>
      </c>
      <c r="G33">
        <v>0.02374198087984047</v>
      </c>
      <c r="H33">
        <v>0.05</v>
      </c>
      <c r="I33">
        <v>0.08865999570130034</v>
      </c>
      <c r="J33" t="s">
        <v>772</v>
      </c>
      <c r="K33" t="s">
        <v>773</v>
      </c>
      <c r="L33">
        <v>3</v>
      </c>
      <c r="M33">
        <v>0.9</v>
      </c>
      <c r="N33">
        <v>0.3</v>
      </c>
      <c r="O33">
        <v>36</v>
      </c>
      <c r="P33">
        <v>0.01924487649145656</v>
      </c>
      <c r="Q33">
        <v>0.228388894667708</v>
      </c>
      <c r="R33" t="s">
        <v>776</v>
      </c>
      <c r="S33" t="s">
        <v>783</v>
      </c>
      <c r="T33">
        <v>2464.264281</v>
      </c>
      <c r="U33" s="2">
        <v>44461</v>
      </c>
      <c r="V33" t="s">
        <v>792</v>
      </c>
    </row>
    <row r="34" spans="1:22">
      <c r="A34" s="1" t="s">
        <v>54</v>
      </c>
      <c r="B34">
        <f>HYPERLINK("https://www.suredividend.com/sure-analysis-LOW/","Lowe`s Cos., Inc.")</f>
        <v>0</v>
      </c>
      <c r="C34">
        <v>221.74</v>
      </c>
      <c r="D34">
        <v>226.94</v>
      </c>
      <c r="E34">
        <v>0.9770864545694898</v>
      </c>
      <c r="F34">
        <v>0.0144313159556237</v>
      </c>
      <c r="G34">
        <v>0.004646791208584133</v>
      </c>
      <c r="H34">
        <v>0.07000000000000001</v>
      </c>
      <c r="I34">
        <v>0.08795800698968437</v>
      </c>
      <c r="J34" t="s">
        <v>772</v>
      </c>
      <c r="K34" t="s">
        <v>773</v>
      </c>
      <c r="L34">
        <v>11.33</v>
      </c>
      <c r="M34">
        <v>3.2</v>
      </c>
      <c r="N34">
        <v>0.2824360105913504</v>
      </c>
      <c r="O34">
        <v>59</v>
      </c>
      <c r="P34">
        <v>0.07008745458377241</v>
      </c>
      <c r="Q34">
        <v>0.246373794985273</v>
      </c>
      <c r="R34" t="s">
        <v>776</v>
      </c>
      <c r="S34" t="s">
        <v>788</v>
      </c>
      <c r="T34">
        <v>151753.54834</v>
      </c>
      <c r="U34" s="2">
        <v>44434</v>
      </c>
      <c r="V34" t="s">
        <v>793</v>
      </c>
    </row>
    <row r="35" spans="1:22">
      <c r="A35" s="1" t="s">
        <v>55</v>
      </c>
      <c r="B35">
        <f>HYPERLINK("https://www.suredividend.com/sure-analysis-FMCB/","Farmers &amp; Merchants Bancorp")</f>
        <v>0</v>
      </c>
      <c r="C35">
        <v>903</v>
      </c>
      <c r="D35">
        <v>1008</v>
      </c>
      <c r="E35">
        <v>0.8958333333333334</v>
      </c>
      <c r="F35">
        <v>0.01694352159468438</v>
      </c>
      <c r="G35">
        <v>0.02224396749591118</v>
      </c>
      <c r="H35">
        <v>0.05</v>
      </c>
      <c r="I35">
        <v>0.08777730827426322</v>
      </c>
      <c r="J35" t="s">
        <v>772</v>
      </c>
      <c r="K35" t="s">
        <v>773</v>
      </c>
      <c r="L35">
        <v>84</v>
      </c>
      <c r="M35">
        <v>15.3</v>
      </c>
      <c r="N35">
        <v>0.1821428571428572</v>
      </c>
      <c r="O35">
        <v>56</v>
      </c>
      <c r="P35">
        <v>0.0500311005456211</v>
      </c>
      <c r="Q35">
        <v>0.287994602311851</v>
      </c>
      <c r="R35" t="s">
        <v>776</v>
      </c>
      <c r="S35" t="s">
        <v>786</v>
      </c>
      <c r="T35">
        <v>721.58996</v>
      </c>
      <c r="U35" s="2">
        <v>44424</v>
      </c>
      <c r="V35" t="s">
        <v>796</v>
      </c>
    </row>
    <row r="36" spans="1:22">
      <c r="A36" s="1" t="s">
        <v>56</v>
      </c>
      <c r="B36">
        <f>HYPERLINK("https://www.suredividend.com/sure-analysis-JNJ/","Johnson &amp; Johnson")</f>
        <v>0</v>
      </c>
      <c r="C36">
        <v>160.12</v>
      </c>
      <c r="D36">
        <v>162</v>
      </c>
      <c r="E36">
        <v>0.9883950617283951</v>
      </c>
      <c r="F36">
        <v>0.02648013989507869</v>
      </c>
      <c r="G36">
        <v>0.002337287429180268</v>
      </c>
      <c r="H36">
        <v>0.06</v>
      </c>
      <c r="I36">
        <v>0.08621495670134638</v>
      </c>
      <c r="J36" t="s">
        <v>772</v>
      </c>
      <c r="K36" t="s">
        <v>772</v>
      </c>
      <c r="L36">
        <v>9.550000000000001</v>
      </c>
      <c r="M36">
        <v>4.24</v>
      </c>
      <c r="N36">
        <v>0.443979057591623</v>
      </c>
      <c r="O36">
        <v>59</v>
      </c>
      <c r="P36">
        <v>0.05984764821935884</v>
      </c>
      <c r="Q36">
        <v>0.117018992785428</v>
      </c>
      <c r="R36" t="s">
        <v>776</v>
      </c>
      <c r="S36" t="s">
        <v>781</v>
      </c>
      <c r="T36">
        <v>424619.36144</v>
      </c>
      <c r="U36" s="2">
        <v>44399</v>
      </c>
      <c r="V36" t="s">
        <v>792</v>
      </c>
    </row>
    <row r="37" spans="1:22">
      <c r="A37" s="1" t="s">
        <v>57</v>
      </c>
      <c r="B37">
        <f>HYPERLINK("https://www.suredividend.com/sure-analysis-RNR/","RenaissanceRe Holdings Ltd")</f>
        <v>0</v>
      </c>
      <c r="C37">
        <v>146.11</v>
      </c>
      <c r="D37">
        <v>167</v>
      </c>
      <c r="E37">
        <v>0.8749101796407186</v>
      </c>
      <c r="F37">
        <v>0.009855588255423995</v>
      </c>
      <c r="G37">
        <v>0.02708717443272168</v>
      </c>
      <c r="H37">
        <v>0.05</v>
      </c>
      <c r="I37">
        <v>0.08621152810820165</v>
      </c>
      <c r="J37" t="s">
        <v>772</v>
      </c>
      <c r="K37" t="s">
        <v>378</v>
      </c>
      <c r="L37">
        <v>11</v>
      </c>
      <c r="M37">
        <v>1.44</v>
      </c>
      <c r="N37">
        <v>0.1309090909090909</v>
      </c>
      <c r="O37">
        <v>26</v>
      </c>
      <c r="P37">
        <v>0.02635185407071083</v>
      </c>
      <c r="Q37">
        <v>-0.133039618659341</v>
      </c>
      <c r="R37" t="s">
        <v>776</v>
      </c>
      <c r="S37" t="s">
        <v>786</v>
      </c>
      <c r="T37">
        <v>6967.829141</v>
      </c>
      <c r="U37" s="2">
        <v>44403</v>
      </c>
      <c r="V37" t="s">
        <v>797</v>
      </c>
    </row>
    <row r="38" spans="1:22">
      <c r="A38" s="1" t="s">
        <v>58</v>
      </c>
      <c r="B38">
        <f>HYPERLINK("https://www.suredividend.com/sure-analysis-PPG/","PPG Industries, Inc.")</f>
        <v>0</v>
      </c>
      <c r="C38">
        <v>157.4</v>
      </c>
      <c r="D38">
        <v>151</v>
      </c>
      <c r="E38">
        <v>1.042384105960265</v>
      </c>
      <c r="F38">
        <v>0.01499364675984752</v>
      </c>
      <c r="G38">
        <v>-0.008267732575417019</v>
      </c>
      <c r="H38">
        <v>0.08</v>
      </c>
      <c r="I38">
        <v>0.08513956350085805</v>
      </c>
      <c r="J38" t="s">
        <v>772</v>
      </c>
      <c r="K38" t="s">
        <v>773</v>
      </c>
      <c r="L38">
        <v>7.97</v>
      </c>
      <c r="M38">
        <v>2.36</v>
      </c>
      <c r="N38">
        <v>0.2961104140526976</v>
      </c>
      <c r="O38">
        <v>50</v>
      </c>
      <c r="P38">
        <v>0.08014856837381279</v>
      </c>
      <c r="Q38">
        <v>0.185733327613014</v>
      </c>
      <c r="R38" t="s">
        <v>776</v>
      </c>
      <c r="S38" t="s">
        <v>782</v>
      </c>
      <c r="T38">
        <v>38048.259774</v>
      </c>
      <c r="U38" s="2">
        <v>44397</v>
      </c>
      <c r="V38" t="s">
        <v>792</v>
      </c>
    </row>
    <row r="39" spans="1:22">
      <c r="A39" s="1" t="s">
        <v>59</v>
      </c>
      <c r="B39">
        <f>HYPERLINK("https://www.suredividend.com/sure-analysis-LEG/","Leggett &amp; Platt, Inc.")</f>
        <v>0</v>
      </c>
      <c r="C39">
        <v>46.18</v>
      </c>
      <c r="D39">
        <v>47</v>
      </c>
      <c r="E39">
        <v>0.9825531914893617</v>
      </c>
      <c r="F39">
        <v>0.03637938501515808</v>
      </c>
      <c r="G39">
        <v>0.003526362594819865</v>
      </c>
      <c r="H39">
        <v>0.05</v>
      </c>
      <c r="I39">
        <v>0.08499508509660036</v>
      </c>
      <c r="J39" t="s">
        <v>772</v>
      </c>
      <c r="K39" t="s">
        <v>772</v>
      </c>
      <c r="L39">
        <v>2.96</v>
      </c>
      <c r="M39">
        <v>1.68</v>
      </c>
      <c r="N39">
        <v>0.5675675675675675</v>
      </c>
      <c r="O39">
        <v>48</v>
      </c>
      <c r="P39">
        <v>0.03959498820755258</v>
      </c>
      <c r="Q39">
        <v>0.040318011472623</v>
      </c>
      <c r="R39" t="s">
        <v>776</v>
      </c>
      <c r="S39" t="s">
        <v>788</v>
      </c>
      <c r="T39">
        <v>6094.426348</v>
      </c>
      <c r="U39" s="2">
        <v>44417</v>
      </c>
      <c r="V39" t="s">
        <v>794</v>
      </c>
    </row>
    <row r="40" spans="1:22">
      <c r="A40" s="1" t="s">
        <v>60</v>
      </c>
      <c r="B40">
        <f>HYPERLINK("https://www.suredividend.com/sure-analysis-BBY/","Best Buy Co. Inc.")</f>
        <v>0</v>
      </c>
      <c r="C40">
        <v>115.61</v>
      </c>
      <c r="D40">
        <v>116</v>
      </c>
      <c r="E40">
        <v>0.9966379310344827</v>
      </c>
      <c r="F40">
        <v>0.02421935818700804</v>
      </c>
      <c r="G40">
        <v>0.00067377356733056</v>
      </c>
      <c r="H40">
        <v>0.06</v>
      </c>
      <c r="I40">
        <v>0.08390656239167482</v>
      </c>
      <c r="J40" t="s">
        <v>772</v>
      </c>
      <c r="K40" t="s">
        <v>773</v>
      </c>
      <c r="L40">
        <v>9.69</v>
      </c>
      <c r="M40">
        <v>2.8</v>
      </c>
      <c r="N40">
        <v>0.2889576883384933</v>
      </c>
      <c r="O40">
        <v>18</v>
      </c>
      <c r="P40">
        <v>0.07978367728709435</v>
      </c>
      <c r="Q40">
        <v>-0.024540983184405</v>
      </c>
      <c r="R40" t="s">
        <v>776</v>
      </c>
      <c r="S40" t="s">
        <v>788</v>
      </c>
      <c r="T40">
        <v>27951.373961</v>
      </c>
      <c r="U40" s="2">
        <v>44452</v>
      </c>
      <c r="V40" t="s">
        <v>799</v>
      </c>
    </row>
    <row r="41" spans="1:22">
      <c r="A41" s="1" t="s">
        <v>61</v>
      </c>
      <c r="B41">
        <f>HYPERLINK("https://www.suredividend.com/sure-analysis-MMM/","3M Co.")</f>
        <v>0</v>
      </c>
      <c r="C41">
        <v>181.72</v>
      </c>
      <c r="D41">
        <v>188</v>
      </c>
      <c r="E41">
        <v>0.9665957446808511</v>
      </c>
      <c r="F41">
        <v>0.0325775918996258</v>
      </c>
      <c r="G41">
        <v>0.006818122672569427</v>
      </c>
      <c r="H41">
        <v>0.05</v>
      </c>
      <c r="I41">
        <v>0.08351222967704852</v>
      </c>
      <c r="J41" t="s">
        <v>772</v>
      </c>
      <c r="K41" t="s">
        <v>772</v>
      </c>
      <c r="L41">
        <v>9.9</v>
      </c>
      <c r="M41">
        <v>5.92</v>
      </c>
      <c r="N41">
        <v>0.5979797979797979</v>
      </c>
      <c r="O41">
        <v>63</v>
      </c>
      <c r="P41">
        <v>0.02011987338221144</v>
      </c>
      <c r="Q41">
        <v>0.098499691171489</v>
      </c>
      <c r="R41" t="s">
        <v>776</v>
      </c>
      <c r="S41" t="s">
        <v>783</v>
      </c>
      <c r="T41">
        <v>105277.443751</v>
      </c>
      <c r="U41" s="2">
        <v>44404</v>
      </c>
      <c r="V41" t="s">
        <v>792</v>
      </c>
    </row>
    <row r="42" spans="1:22">
      <c r="A42" s="1" t="s">
        <v>62</v>
      </c>
      <c r="B42">
        <f>HYPERLINK("https://www.suredividend.com/sure-analysis-EBTC/","Enterprise Bancorp, Inc.")</f>
        <v>0</v>
      </c>
      <c r="C42">
        <v>38.14</v>
      </c>
      <c r="D42">
        <v>41</v>
      </c>
      <c r="E42">
        <v>0.9302439024390244</v>
      </c>
      <c r="F42">
        <v>0.0194022024121657</v>
      </c>
      <c r="G42">
        <v>0.01456676950863089</v>
      </c>
      <c r="H42">
        <v>0.05</v>
      </c>
      <c r="I42">
        <v>0.08282243755605978</v>
      </c>
      <c r="J42" t="s">
        <v>772</v>
      </c>
      <c r="K42" t="s">
        <v>773</v>
      </c>
      <c r="L42">
        <v>3.4</v>
      </c>
      <c r="M42">
        <v>0.74</v>
      </c>
      <c r="N42">
        <v>0.2176470588235294</v>
      </c>
      <c r="O42">
        <v>27</v>
      </c>
      <c r="P42">
        <v>0.06207125806326297</v>
      </c>
      <c r="Q42">
        <v>0.7585566511678841</v>
      </c>
      <c r="R42" t="s">
        <v>776</v>
      </c>
      <c r="S42" t="s">
        <v>786</v>
      </c>
      <c r="T42">
        <v>462.709968</v>
      </c>
      <c r="U42" s="2">
        <v>44400</v>
      </c>
      <c r="V42" t="s">
        <v>796</v>
      </c>
    </row>
    <row r="43" spans="1:22">
      <c r="A43" s="1" t="s">
        <v>63</v>
      </c>
      <c r="B43">
        <f>HYPERLINK("https://www.suredividend.com/sure-analysis-CTBI/","Community Trust Bancorp, Inc.")</f>
        <v>0</v>
      </c>
      <c r="C43">
        <v>43.07</v>
      </c>
      <c r="D43">
        <v>48</v>
      </c>
      <c r="E43">
        <v>0.8972916666666667</v>
      </c>
      <c r="F43">
        <v>0.03575574645925238</v>
      </c>
      <c r="G43">
        <v>0.02191146857454074</v>
      </c>
      <c r="H43">
        <v>0.03</v>
      </c>
      <c r="I43">
        <v>0.08280123421484764</v>
      </c>
      <c r="J43" t="s">
        <v>772</v>
      </c>
      <c r="K43" t="s">
        <v>772</v>
      </c>
      <c r="L43">
        <v>4</v>
      </c>
      <c r="M43">
        <v>1.54</v>
      </c>
      <c r="N43">
        <v>0.385</v>
      </c>
      <c r="O43">
        <v>40</v>
      </c>
      <c r="P43">
        <v>0.03169269824246657</v>
      </c>
      <c r="Q43">
        <v>0.439975272473155</v>
      </c>
      <c r="R43" t="s">
        <v>776</v>
      </c>
      <c r="S43" t="s">
        <v>786</v>
      </c>
      <c r="T43">
        <v>764.507235</v>
      </c>
      <c r="U43" s="2">
        <v>44399</v>
      </c>
      <c r="V43" t="s">
        <v>796</v>
      </c>
    </row>
    <row r="44" spans="1:22">
      <c r="A44" s="1" t="s">
        <v>64</v>
      </c>
      <c r="B44">
        <f>HYPERLINK("https://www.suredividend.com/sure-analysis-BEN/","Franklin Resources, Inc.")</f>
        <v>0</v>
      </c>
      <c r="C44">
        <v>29.77</v>
      </c>
      <c r="D44">
        <v>31</v>
      </c>
      <c r="E44">
        <v>0.9603225806451613</v>
      </c>
      <c r="F44">
        <v>0.0376217668794088</v>
      </c>
      <c r="G44">
        <v>0.00813007692439216</v>
      </c>
      <c r="H44">
        <v>0.04</v>
      </c>
      <c r="I44">
        <v>0.08135808318894355</v>
      </c>
      <c r="J44" t="s">
        <v>772</v>
      </c>
      <c r="K44" t="s">
        <v>772</v>
      </c>
      <c r="L44">
        <v>3.1</v>
      </c>
      <c r="M44">
        <v>1.12</v>
      </c>
      <c r="N44">
        <v>0.3612903225806452</v>
      </c>
      <c r="O44">
        <v>41</v>
      </c>
      <c r="P44">
        <v>0.03959498820755258</v>
      </c>
      <c r="Q44">
        <v>0.329381317879183</v>
      </c>
      <c r="R44" t="s">
        <v>776</v>
      </c>
      <c r="S44" t="s">
        <v>786</v>
      </c>
      <c r="T44">
        <v>15110.768229</v>
      </c>
      <c r="U44" s="2">
        <v>44415</v>
      </c>
      <c r="V44" t="s">
        <v>797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393.89</v>
      </c>
      <c r="D45">
        <v>369</v>
      </c>
      <c r="E45">
        <v>1.067452574525745</v>
      </c>
      <c r="F45">
        <v>0.01594353753586027</v>
      </c>
      <c r="G45">
        <v>-0.01297016070642953</v>
      </c>
      <c r="H45">
        <v>0.08</v>
      </c>
      <c r="I45">
        <v>0.08120101508123501</v>
      </c>
      <c r="J45" t="s">
        <v>772</v>
      </c>
      <c r="K45" t="s">
        <v>773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0.266993499031232</v>
      </c>
      <c r="R45" t="s">
        <v>776</v>
      </c>
      <c r="S45" t="s">
        <v>783</v>
      </c>
      <c r="T45">
        <v>63300.734962</v>
      </c>
      <c r="U45" s="2">
        <v>44409</v>
      </c>
      <c r="V45" t="s">
        <v>799</v>
      </c>
    </row>
    <row r="46" spans="1:22">
      <c r="A46" s="1" t="s">
        <v>66</v>
      </c>
      <c r="B46">
        <f>HYPERLINK("https://www.suredividend.com/sure-analysis-FMS/","Fresenius Medical Care AG &amp; Co. KGaA")</f>
        <v>0</v>
      </c>
      <c r="C46">
        <v>35.11</v>
      </c>
      <c r="D46">
        <v>35</v>
      </c>
      <c r="E46">
        <v>1.003142857142857</v>
      </c>
      <c r="F46">
        <v>0.02335516946738821</v>
      </c>
      <c r="G46">
        <v>-0.0006273888474468414</v>
      </c>
      <c r="H46">
        <v>0.06</v>
      </c>
      <c r="I46">
        <v>0.08065628762974963</v>
      </c>
      <c r="J46" t="s">
        <v>772</v>
      </c>
      <c r="K46" t="s">
        <v>773</v>
      </c>
      <c r="L46">
        <v>2.17</v>
      </c>
      <c r="M46">
        <v>0.82</v>
      </c>
      <c r="N46">
        <v>0.3778801843317972</v>
      </c>
      <c r="O46">
        <v>24</v>
      </c>
      <c r="P46">
        <v>0.06051243834129849</v>
      </c>
      <c r="Q46">
        <v>-0.137245169813799</v>
      </c>
      <c r="R46" t="s">
        <v>776</v>
      </c>
      <c r="S46" t="s">
        <v>781</v>
      </c>
      <c r="T46">
        <v>20778.958882</v>
      </c>
      <c r="U46" s="2">
        <v>44409</v>
      </c>
      <c r="V46" t="s">
        <v>792</v>
      </c>
    </row>
    <row r="47" spans="1:22">
      <c r="A47" s="1" t="s">
        <v>67</v>
      </c>
      <c r="B47">
        <f>HYPERLINK("https://www.suredividend.com/sure-analysis-SEIC/","SEI Investments Co.")</f>
        <v>0</v>
      </c>
      <c r="C47">
        <v>61.53</v>
      </c>
      <c r="D47">
        <v>64</v>
      </c>
      <c r="E47">
        <v>0.96140625</v>
      </c>
      <c r="F47">
        <v>0.01202665366487892</v>
      </c>
      <c r="G47">
        <v>0.007902707366923334</v>
      </c>
      <c r="H47">
        <v>0.06</v>
      </c>
      <c r="I47">
        <v>0.07984370571875021</v>
      </c>
      <c r="J47" t="s">
        <v>772</v>
      </c>
      <c r="K47" t="s">
        <v>378</v>
      </c>
      <c r="L47">
        <v>3.75</v>
      </c>
      <c r="M47">
        <v>0.74</v>
      </c>
      <c r="N47">
        <v>0.1973333333333333</v>
      </c>
      <c r="O47">
        <v>30</v>
      </c>
      <c r="P47">
        <v>0.08053529061413389</v>
      </c>
      <c r="Q47">
        <v>0.120010181910744</v>
      </c>
      <c r="R47" t="s">
        <v>776</v>
      </c>
      <c r="S47" t="s">
        <v>786</v>
      </c>
      <c r="T47">
        <v>8690.320285</v>
      </c>
      <c r="U47" s="2">
        <v>44400</v>
      </c>
      <c r="V47" t="s">
        <v>795</v>
      </c>
    </row>
    <row r="48" spans="1:22">
      <c r="A48" s="1" t="s">
        <v>68</v>
      </c>
      <c r="B48">
        <f>HYPERLINK("https://www.suredividend.com/sure-analysis-MCK/","Mckesson Corporation")</f>
        <v>0</v>
      </c>
      <c r="C48">
        <v>200.8</v>
      </c>
      <c r="D48">
        <v>244</v>
      </c>
      <c r="E48">
        <v>0.8229508196721312</v>
      </c>
      <c r="F48">
        <v>0.009362549800796812</v>
      </c>
      <c r="G48">
        <v>0.03974112873929325</v>
      </c>
      <c r="H48">
        <v>0.03</v>
      </c>
      <c r="I48">
        <v>0.07955949539629747</v>
      </c>
      <c r="J48" t="s">
        <v>772</v>
      </c>
      <c r="K48" t="s">
        <v>378</v>
      </c>
      <c r="L48">
        <v>20.3</v>
      </c>
      <c r="M48">
        <v>1.88</v>
      </c>
      <c r="N48">
        <v>0.09261083743842363</v>
      </c>
      <c r="O48">
        <v>14</v>
      </c>
      <c r="P48">
        <v>0.0702598056972048</v>
      </c>
      <c r="Q48">
        <v>0.315386810826412</v>
      </c>
      <c r="R48" t="s">
        <v>776</v>
      </c>
      <c r="S48" t="s">
        <v>781</v>
      </c>
      <c r="T48">
        <v>31579.907161</v>
      </c>
      <c r="U48" s="2">
        <v>44428</v>
      </c>
      <c r="V48" t="s">
        <v>795</v>
      </c>
    </row>
    <row r="49" spans="1:22">
      <c r="A49" s="1" t="s">
        <v>69</v>
      </c>
      <c r="B49">
        <f>HYPERLINK("https://www.suredividend.com/sure-analysis-TMO/","Thermo Fisher Scientific Inc.")</f>
        <v>0</v>
      </c>
      <c r="C49">
        <v>588.03</v>
      </c>
      <c r="D49">
        <v>530</v>
      </c>
      <c r="E49">
        <v>1.109490566037736</v>
      </c>
      <c r="F49">
        <v>0.001768617247419349</v>
      </c>
      <c r="G49">
        <v>-0.02056577170082496</v>
      </c>
      <c r="H49">
        <v>0.1</v>
      </c>
      <c r="I49">
        <v>0.07940450522835363</v>
      </c>
      <c r="J49" t="s">
        <v>772</v>
      </c>
      <c r="K49" t="s">
        <v>486</v>
      </c>
      <c r="L49">
        <v>22.07</v>
      </c>
      <c r="M49">
        <v>1.04</v>
      </c>
      <c r="N49">
        <v>0.04712279111916629</v>
      </c>
      <c r="O49">
        <v>4</v>
      </c>
      <c r="P49">
        <v>0.1498007546802556</v>
      </c>
      <c r="Q49">
        <v>0.245429533011506</v>
      </c>
      <c r="R49" t="s">
        <v>776</v>
      </c>
      <c r="S49" t="s">
        <v>781</v>
      </c>
      <c r="T49">
        <v>229123.232589</v>
      </c>
      <c r="U49" s="2">
        <v>44405</v>
      </c>
      <c r="V49" t="s">
        <v>791</v>
      </c>
    </row>
    <row r="50" spans="1:22">
      <c r="A50" s="1" t="s">
        <v>70</v>
      </c>
      <c r="B50">
        <f>HYPERLINK("https://www.suredividend.com/sure-analysis-NFG/","National Fuel Gas Co.")</f>
        <v>0</v>
      </c>
      <c r="C50">
        <v>57.55</v>
      </c>
      <c r="D50">
        <v>61</v>
      </c>
      <c r="E50">
        <v>0.9434426229508196</v>
      </c>
      <c r="F50">
        <v>0.03127715030408341</v>
      </c>
      <c r="G50">
        <v>0.01171200042293319</v>
      </c>
      <c r="H50">
        <v>0.04</v>
      </c>
      <c r="I50">
        <v>0.07807110925338412</v>
      </c>
      <c r="J50" t="s">
        <v>772</v>
      </c>
      <c r="K50" t="s">
        <v>772</v>
      </c>
      <c r="L50">
        <v>4.05</v>
      </c>
      <c r="M50">
        <v>1.8</v>
      </c>
      <c r="N50">
        <v>0.4444444444444445</v>
      </c>
      <c r="O50">
        <v>51</v>
      </c>
      <c r="P50">
        <v>0.02129568760013512</v>
      </c>
      <c r="Q50">
        <v>0.439266395034916</v>
      </c>
      <c r="R50" t="s">
        <v>776</v>
      </c>
      <c r="S50" t="s">
        <v>787</v>
      </c>
      <c r="T50">
        <v>5269.35889</v>
      </c>
      <c r="U50" s="2">
        <v>44427</v>
      </c>
      <c r="V50" t="s">
        <v>796</v>
      </c>
    </row>
    <row r="51" spans="1:22">
      <c r="A51" s="1" t="s">
        <v>71</v>
      </c>
      <c r="B51">
        <f>HYPERLINK("https://www.suredividend.com/sure-analysis-WMT/","Walmart Inc")</f>
        <v>0</v>
      </c>
      <c r="C51">
        <v>141.68</v>
      </c>
      <c r="D51">
        <v>151</v>
      </c>
      <c r="E51">
        <v>0.9382781456953643</v>
      </c>
      <c r="F51">
        <v>0.01552795031055901</v>
      </c>
      <c r="G51">
        <v>0.01282329088022682</v>
      </c>
      <c r="H51">
        <v>0.05</v>
      </c>
      <c r="I51">
        <v>0.07719901791347938</v>
      </c>
      <c r="J51" t="s">
        <v>772</v>
      </c>
      <c r="K51" t="s">
        <v>773</v>
      </c>
      <c r="L51">
        <v>6.3</v>
      </c>
      <c r="M51">
        <v>2.2</v>
      </c>
      <c r="N51">
        <v>0.3492063492063492</v>
      </c>
      <c r="O51">
        <v>48</v>
      </c>
      <c r="P51">
        <v>0.05016303610438722</v>
      </c>
      <c r="Q51">
        <v>-0.013666214260751</v>
      </c>
      <c r="R51" t="s">
        <v>776</v>
      </c>
      <c r="S51" t="s">
        <v>785</v>
      </c>
      <c r="T51">
        <v>391923.368039</v>
      </c>
      <c r="U51" s="2">
        <v>44428</v>
      </c>
      <c r="V51" t="s">
        <v>795</v>
      </c>
    </row>
    <row r="52" spans="1:22">
      <c r="A52" s="1" t="s">
        <v>72</v>
      </c>
      <c r="B52">
        <f>HYPERLINK("https://www.suredividend.com/sure-analysis-NIDB/","Northeast Indiana Bancorp Inc.")</f>
        <v>0</v>
      </c>
      <c r="C52">
        <v>44.5</v>
      </c>
      <c r="D52">
        <v>50</v>
      </c>
      <c r="E52">
        <v>0.89</v>
      </c>
      <c r="F52">
        <v>0.0251685393258427</v>
      </c>
      <c r="G52">
        <v>0.02358048826922654</v>
      </c>
      <c r="H52">
        <v>0.03</v>
      </c>
      <c r="I52">
        <v>0.07569732101471316</v>
      </c>
      <c r="J52" t="s">
        <v>772</v>
      </c>
      <c r="K52" t="s">
        <v>772</v>
      </c>
      <c r="L52">
        <v>5.5</v>
      </c>
      <c r="M52">
        <v>1.12</v>
      </c>
      <c r="N52">
        <v>0.2036363636363636</v>
      </c>
      <c r="O52">
        <v>26</v>
      </c>
      <c r="P52">
        <v>0.03025579475561258</v>
      </c>
      <c r="Q52">
        <v>0.308823529411764</v>
      </c>
      <c r="R52" t="s">
        <v>776</v>
      </c>
      <c r="S52" t="s">
        <v>786</v>
      </c>
      <c r="T52">
        <v>53.532833</v>
      </c>
      <c r="U52" s="2">
        <v>44393</v>
      </c>
      <c r="V52" t="s">
        <v>792</v>
      </c>
    </row>
    <row r="53" spans="1:22">
      <c r="A53" s="1" t="s">
        <v>73</v>
      </c>
      <c r="B53">
        <f>HYPERLINK("https://www.suredividend.com/sure-analysis-INTU/","Intuit Inc")</f>
        <v>0</v>
      </c>
      <c r="C53">
        <v>564.5599999999999</v>
      </c>
      <c r="D53">
        <v>446</v>
      </c>
      <c r="E53">
        <v>1.265829596412556</v>
      </c>
      <c r="F53">
        <v>0.004817911293750887</v>
      </c>
      <c r="G53">
        <v>-0.04605145298464053</v>
      </c>
      <c r="H53">
        <v>0.12</v>
      </c>
      <c r="I53">
        <v>0.0736302514291125</v>
      </c>
      <c r="J53" t="s">
        <v>772</v>
      </c>
      <c r="K53" t="s">
        <v>486</v>
      </c>
      <c r="L53">
        <v>11.15</v>
      </c>
      <c r="M53">
        <v>2.72</v>
      </c>
      <c r="N53">
        <v>0.2439461883408072</v>
      </c>
      <c r="O53">
        <v>10</v>
      </c>
      <c r="P53">
        <v>0.1198331558543506</v>
      </c>
      <c r="Q53">
        <v>0.627413739644453</v>
      </c>
      <c r="R53" t="s">
        <v>776</v>
      </c>
      <c r="S53" t="s">
        <v>784</v>
      </c>
      <c r="T53">
        <v>151316.682783</v>
      </c>
      <c r="U53" s="2">
        <v>44434</v>
      </c>
      <c r="V53" t="s">
        <v>791</v>
      </c>
    </row>
    <row r="54" spans="1:22">
      <c r="A54" s="1" t="s">
        <v>74</v>
      </c>
      <c r="B54">
        <f>HYPERLINK("https://www.suredividend.com/sure-analysis-CINF/","Cincinnati Financial Corp.")</f>
        <v>0</v>
      </c>
      <c r="C54">
        <v>116.96</v>
      </c>
      <c r="D54">
        <v>103</v>
      </c>
      <c r="E54">
        <v>1.135533980582524</v>
      </c>
      <c r="F54">
        <v>0.02154582763337893</v>
      </c>
      <c r="G54">
        <v>-0.0251002185798237</v>
      </c>
      <c r="H54">
        <v>0.08</v>
      </c>
      <c r="I54">
        <v>0.07250571088099544</v>
      </c>
      <c r="J54" t="s">
        <v>772</v>
      </c>
      <c r="K54" t="s">
        <v>773</v>
      </c>
      <c r="L54">
        <v>5.15</v>
      </c>
      <c r="M54">
        <v>2.52</v>
      </c>
      <c r="N54">
        <v>0.4893203883495145</v>
      </c>
      <c r="O54">
        <v>60</v>
      </c>
      <c r="P54">
        <v>0.05024607263868264</v>
      </c>
      <c r="Q54">
        <v>0.550282515331425</v>
      </c>
      <c r="R54" t="s">
        <v>776</v>
      </c>
      <c r="S54" t="s">
        <v>786</v>
      </c>
      <c r="T54">
        <v>19171.091628</v>
      </c>
      <c r="U54" s="2">
        <v>44409</v>
      </c>
      <c r="V54" t="s">
        <v>798</v>
      </c>
    </row>
    <row r="55" spans="1:22">
      <c r="A55" s="1" t="s">
        <v>75</v>
      </c>
      <c r="B55">
        <f>HYPERLINK("https://www.suredividend.com/sure-analysis-CL/","Colgate-Palmolive Co.")</f>
        <v>0</v>
      </c>
      <c r="C55">
        <v>75.28</v>
      </c>
      <c r="D55">
        <v>75</v>
      </c>
      <c r="E55">
        <v>1.003733333333333</v>
      </c>
      <c r="F55">
        <v>0.02391073326248672</v>
      </c>
      <c r="G55">
        <v>-0.0007449986987246859</v>
      </c>
      <c r="H55">
        <v>0.05</v>
      </c>
      <c r="I55">
        <v>0.07118922412286954</v>
      </c>
      <c r="J55" t="s">
        <v>772</v>
      </c>
      <c r="K55" t="s">
        <v>773</v>
      </c>
      <c r="L55">
        <v>3.25</v>
      </c>
      <c r="M55">
        <v>1.8</v>
      </c>
      <c r="N55">
        <v>0.5538461538461539</v>
      </c>
      <c r="O55">
        <v>58</v>
      </c>
      <c r="P55">
        <v>0.05024607263868264</v>
      </c>
      <c r="Q55">
        <v>-0.029380802234269</v>
      </c>
      <c r="R55" t="s">
        <v>776</v>
      </c>
      <c r="S55" t="s">
        <v>785</v>
      </c>
      <c r="T55">
        <v>64317.903613</v>
      </c>
      <c r="U55" s="2">
        <v>44415</v>
      </c>
      <c r="V55" t="s">
        <v>795</v>
      </c>
    </row>
    <row r="56" spans="1:22">
      <c r="A56" s="1" t="s">
        <v>76</v>
      </c>
      <c r="B56">
        <f>HYPERLINK("https://www.suredividend.com/sure-analysis-NWN/","Northwest Natural Holding Co")</f>
        <v>0</v>
      </c>
      <c r="C56">
        <v>46.62</v>
      </c>
      <c r="D56">
        <v>50.8</v>
      </c>
      <c r="E56">
        <v>0.9177165354330709</v>
      </c>
      <c r="F56">
        <v>0.04118404118404118</v>
      </c>
      <c r="G56">
        <v>0.01732165384528961</v>
      </c>
      <c r="H56">
        <v>0.016</v>
      </c>
      <c r="I56">
        <v>0.06973109839707869</v>
      </c>
      <c r="J56" t="s">
        <v>772</v>
      </c>
      <c r="K56" t="s">
        <v>772</v>
      </c>
      <c r="L56">
        <v>2.54</v>
      </c>
      <c r="M56">
        <v>1.92</v>
      </c>
      <c r="N56">
        <v>0.7559055118110236</v>
      </c>
      <c r="O56">
        <v>65</v>
      </c>
      <c r="P56">
        <v>0.02383625553960966</v>
      </c>
      <c r="Q56">
        <v>0.064438980024926</v>
      </c>
      <c r="R56" t="s">
        <v>776</v>
      </c>
      <c r="S56" t="s">
        <v>787</v>
      </c>
      <c r="T56">
        <v>1453.887023</v>
      </c>
      <c r="U56" s="2">
        <v>44421</v>
      </c>
      <c r="V56" t="s">
        <v>800</v>
      </c>
    </row>
    <row r="57" spans="1:22">
      <c r="A57" s="1" t="s">
        <v>77</v>
      </c>
      <c r="B57">
        <f>HYPERLINK("https://www.suredividend.com/sure-analysis-CP/","Canadian Pacific Railway Ltd")</f>
        <v>0</v>
      </c>
      <c r="C57">
        <v>73.40000000000001</v>
      </c>
      <c r="D57">
        <v>61</v>
      </c>
      <c r="E57">
        <v>1.20327868852459</v>
      </c>
      <c r="F57">
        <v>0.008310626702997275</v>
      </c>
      <c r="G57">
        <v>-0.036333515134363</v>
      </c>
      <c r="H57">
        <v>0.1</v>
      </c>
      <c r="I57">
        <v>0.06926523892211112</v>
      </c>
      <c r="J57" t="s">
        <v>772</v>
      </c>
      <c r="K57" t="s">
        <v>486</v>
      </c>
      <c r="L57">
        <v>3.06</v>
      </c>
      <c r="M57">
        <v>0.61</v>
      </c>
      <c r="N57">
        <v>0.1993464052287582</v>
      </c>
      <c r="O57">
        <v>5</v>
      </c>
      <c r="P57">
        <v>0.1210339987642413</v>
      </c>
      <c r="Q57">
        <v>0.13011966702967</v>
      </c>
      <c r="R57" t="s">
        <v>776</v>
      </c>
      <c r="S57" t="s">
        <v>783</v>
      </c>
      <c r="T57">
        <v>48582.634245</v>
      </c>
      <c r="U57" s="2">
        <v>44411</v>
      </c>
      <c r="V57" t="s">
        <v>801</v>
      </c>
    </row>
    <row r="58" spans="1:22">
      <c r="A58" s="1" t="s">
        <v>78</v>
      </c>
      <c r="B58">
        <f>HYPERLINK("https://www.suredividend.com/sure-analysis-DG/","Dollar General Corp.")</f>
        <v>0</v>
      </c>
      <c r="C58">
        <v>213.7</v>
      </c>
      <c r="D58">
        <v>178</v>
      </c>
      <c r="E58">
        <v>1.200561797752809</v>
      </c>
      <c r="F58">
        <v>0.007580720636406178</v>
      </c>
      <c r="G58">
        <v>-0.03589775084347413</v>
      </c>
      <c r="H58">
        <v>0.1</v>
      </c>
      <c r="I58">
        <v>0.06821361987302388</v>
      </c>
      <c r="J58" t="s">
        <v>772</v>
      </c>
      <c r="K58" t="s">
        <v>378</v>
      </c>
      <c r="L58">
        <v>9.9</v>
      </c>
      <c r="M58">
        <v>1.62</v>
      </c>
      <c r="N58">
        <v>0.1636363636363636</v>
      </c>
      <c r="O58">
        <v>7</v>
      </c>
      <c r="P58">
        <v>0.08977506465822516</v>
      </c>
      <c r="Q58">
        <v>-0.032739143655964</v>
      </c>
      <c r="R58" t="s">
        <v>776</v>
      </c>
      <c r="S58" t="s">
        <v>785</v>
      </c>
      <c r="T58">
        <v>49648.41439</v>
      </c>
      <c r="U58" s="2">
        <v>44439</v>
      </c>
      <c r="V58" t="s">
        <v>799</v>
      </c>
    </row>
    <row r="59" spans="1:22">
      <c r="A59" s="1" t="s">
        <v>79</v>
      </c>
      <c r="B59">
        <f>HYPERLINK("https://www.suredividend.com/sure-analysis-TSN/","Tyson Foods, Inc.")</f>
        <v>0</v>
      </c>
      <c r="C59">
        <v>79.43000000000001</v>
      </c>
      <c r="D59">
        <v>86</v>
      </c>
      <c r="E59">
        <v>0.9236046511627908</v>
      </c>
      <c r="F59">
        <v>0.02240966889084729</v>
      </c>
      <c r="G59">
        <v>0.01602121833041026</v>
      </c>
      <c r="H59">
        <v>0.03</v>
      </c>
      <c r="I59">
        <v>0.06792364247916449</v>
      </c>
      <c r="J59" t="s">
        <v>772</v>
      </c>
      <c r="K59" t="s">
        <v>773</v>
      </c>
      <c r="L59">
        <v>7.2</v>
      </c>
      <c r="M59">
        <v>1.78</v>
      </c>
      <c r="N59">
        <v>0.2472222222222222</v>
      </c>
      <c r="O59">
        <v>10</v>
      </c>
      <c r="P59">
        <v>0.05981824312960904</v>
      </c>
      <c r="Q59">
        <v>0.367857075415824</v>
      </c>
      <c r="R59" t="s">
        <v>776</v>
      </c>
      <c r="S59" t="s">
        <v>785</v>
      </c>
      <c r="T59">
        <v>29014.35648</v>
      </c>
      <c r="U59" s="2">
        <v>44418</v>
      </c>
      <c r="V59" t="s">
        <v>797</v>
      </c>
    </row>
    <row r="60" spans="1:22">
      <c r="A60" s="1" t="s">
        <v>80</v>
      </c>
      <c r="B60">
        <f>HYPERLINK("https://www.suredividend.com/sure-analysis-MKC/","McCormick &amp; Co., Inc.")</f>
        <v>0</v>
      </c>
      <c r="C60">
        <v>79.41</v>
      </c>
      <c r="D60">
        <v>69</v>
      </c>
      <c r="E60">
        <v>1.150869565217391</v>
      </c>
      <c r="F60">
        <v>0.01712630651051505</v>
      </c>
      <c r="G60">
        <v>-0.02771232858417982</v>
      </c>
      <c r="H60">
        <v>0.08</v>
      </c>
      <c r="I60">
        <v>0.06782369678049482</v>
      </c>
      <c r="J60" t="s">
        <v>772</v>
      </c>
      <c r="K60" t="s">
        <v>378</v>
      </c>
      <c r="L60">
        <v>3</v>
      </c>
      <c r="M60">
        <v>1.36</v>
      </c>
      <c r="N60">
        <v>0.4533333333333334</v>
      </c>
      <c r="O60">
        <v>34</v>
      </c>
      <c r="P60">
        <v>0.08973644480326026</v>
      </c>
      <c r="Q60">
        <v>-0.185823950660706</v>
      </c>
      <c r="R60" t="s">
        <v>776</v>
      </c>
      <c r="S60" t="s">
        <v>785</v>
      </c>
      <c r="T60">
        <v>21287.038975</v>
      </c>
      <c r="U60" s="2">
        <v>44470</v>
      </c>
      <c r="V60" t="s">
        <v>792</v>
      </c>
    </row>
    <row r="61" spans="1:22">
      <c r="A61" s="1" t="s">
        <v>81</v>
      </c>
      <c r="B61">
        <f>HYPERLINK("https://www.suredividend.com/sure-analysis-ABC/","Amerisource Bergen Corp.")</f>
        <v>0</v>
      </c>
      <c r="C61">
        <v>118.38</v>
      </c>
      <c r="D61">
        <v>120</v>
      </c>
      <c r="E61">
        <v>0.9864999999999999</v>
      </c>
      <c r="F61">
        <v>0.0148673762459875</v>
      </c>
      <c r="G61">
        <v>0.002722088878171158</v>
      </c>
      <c r="H61">
        <v>0.05</v>
      </c>
      <c r="I61">
        <v>0.06745661224674793</v>
      </c>
      <c r="J61" t="s">
        <v>772</v>
      </c>
      <c r="K61" t="s">
        <v>378</v>
      </c>
      <c r="L61">
        <v>9.220000000000001</v>
      </c>
      <c r="M61">
        <v>1.76</v>
      </c>
      <c r="N61">
        <v>0.1908893709327549</v>
      </c>
      <c r="O61">
        <v>17</v>
      </c>
      <c r="P61">
        <v>0.07271775327137764</v>
      </c>
      <c r="Q61">
        <v>0.223398283200473</v>
      </c>
      <c r="R61" t="s">
        <v>776</v>
      </c>
      <c r="S61" t="s">
        <v>781</v>
      </c>
      <c r="T61">
        <v>24905.363724</v>
      </c>
      <c r="U61" s="2">
        <v>44416</v>
      </c>
      <c r="V61" t="s">
        <v>797</v>
      </c>
    </row>
    <row r="62" spans="1:22">
      <c r="A62" s="1" t="s">
        <v>82</v>
      </c>
      <c r="B62">
        <f>HYPERLINK("https://www.suredividend.com/sure-analysis-TRV/","Travelers Companies Inc.")</f>
        <v>0</v>
      </c>
      <c r="C62">
        <v>152.88</v>
      </c>
      <c r="D62">
        <v>142</v>
      </c>
      <c r="E62">
        <v>1.076619718309859</v>
      </c>
      <c r="F62">
        <v>0.02302459445316588</v>
      </c>
      <c r="G62">
        <v>-0.01465677671206522</v>
      </c>
      <c r="H62">
        <v>0.06</v>
      </c>
      <c r="I62">
        <v>0.0672652310121169</v>
      </c>
      <c r="J62" t="s">
        <v>772</v>
      </c>
      <c r="K62" t="s">
        <v>773</v>
      </c>
      <c r="L62">
        <v>11.85</v>
      </c>
      <c r="M62">
        <v>3.52</v>
      </c>
      <c r="N62">
        <v>0.2970464135021097</v>
      </c>
      <c r="O62">
        <v>16</v>
      </c>
      <c r="P62">
        <v>0.0701307832252307</v>
      </c>
      <c r="Q62">
        <v>0.405322238113812</v>
      </c>
      <c r="R62" t="s">
        <v>776</v>
      </c>
      <c r="S62" t="s">
        <v>786</v>
      </c>
      <c r="T62">
        <v>38831.074956</v>
      </c>
      <c r="U62" s="2">
        <v>44398</v>
      </c>
      <c r="V62" t="s">
        <v>795</v>
      </c>
    </row>
    <row r="63" spans="1:22">
      <c r="A63" s="1" t="s">
        <v>83</v>
      </c>
      <c r="B63">
        <f>HYPERLINK("https://www.suredividend.com/sure-analysis-SCL/","Stepan Co.")</f>
        <v>0</v>
      </c>
      <c r="C63">
        <v>118.54</v>
      </c>
      <c r="D63">
        <v>122</v>
      </c>
      <c r="E63">
        <v>0.9716393442622951</v>
      </c>
      <c r="F63">
        <v>0.01029188459591699</v>
      </c>
      <c r="G63">
        <v>0.005770704408565308</v>
      </c>
      <c r="H63">
        <v>0.05</v>
      </c>
      <c r="I63">
        <v>0.06633319239450164</v>
      </c>
      <c r="J63" t="s">
        <v>772</v>
      </c>
      <c r="K63" t="s">
        <v>773</v>
      </c>
      <c r="L63">
        <v>6.85</v>
      </c>
      <c r="M63">
        <v>1.22</v>
      </c>
      <c r="N63">
        <v>0.1781021897810219</v>
      </c>
      <c r="O63">
        <v>53</v>
      </c>
      <c r="P63">
        <v>0.07968890878531787</v>
      </c>
      <c r="Q63">
        <v>0.04665459347557201</v>
      </c>
      <c r="R63" t="s">
        <v>776</v>
      </c>
      <c r="S63" t="s">
        <v>782</v>
      </c>
      <c r="T63">
        <v>2685.119707</v>
      </c>
      <c r="U63" s="2">
        <v>44408</v>
      </c>
      <c r="V63" t="s">
        <v>795</v>
      </c>
    </row>
    <row r="64" spans="1:22">
      <c r="A64" s="1" t="s">
        <v>84</v>
      </c>
      <c r="B64">
        <f>HYPERLINK("https://www.suredividend.com/sure-analysis-LHX/","L3Harris Technologies Inc")</f>
        <v>0</v>
      </c>
      <c r="C64">
        <v>238.78</v>
      </c>
      <c r="D64">
        <v>206</v>
      </c>
      <c r="E64">
        <v>1.159126213592233</v>
      </c>
      <c r="F64">
        <v>0.0170868581958288</v>
      </c>
      <c r="G64">
        <v>-0.02910144549377103</v>
      </c>
      <c r="H64">
        <v>0.08</v>
      </c>
      <c r="I64">
        <v>0.06589027081347543</v>
      </c>
      <c r="J64" t="s">
        <v>772</v>
      </c>
      <c r="K64" t="s">
        <v>378</v>
      </c>
      <c r="L64">
        <v>12.9</v>
      </c>
      <c r="M64">
        <v>4.08</v>
      </c>
      <c r="N64">
        <v>0.3162790697674419</v>
      </c>
      <c r="O64">
        <v>20</v>
      </c>
      <c r="P64">
        <v>0.07982488529298792</v>
      </c>
      <c r="Q64">
        <v>0.3970089388236651</v>
      </c>
      <c r="R64" t="s">
        <v>776</v>
      </c>
      <c r="S64" t="s">
        <v>783</v>
      </c>
      <c r="T64">
        <v>48039.604382</v>
      </c>
      <c r="U64" s="2">
        <v>44423</v>
      </c>
      <c r="V64" t="s">
        <v>799</v>
      </c>
    </row>
    <row r="65" spans="1:22">
      <c r="A65" s="1" t="s">
        <v>85</v>
      </c>
      <c r="B65">
        <f>HYPERLINK("https://www.suredividend.com/sure-analysis-AFL/","Aflac Inc.")</f>
        <v>0</v>
      </c>
      <c r="C65">
        <v>55.16</v>
      </c>
      <c r="D65">
        <v>56</v>
      </c>
      <c r="E65">
        <v>0.985</v>
      </c>
      <c r="F65">
        <v>0.02393038433647571</v>
      </c>
      <c r="G65">
        <v>0.003027300609498074</v>
      </c>
      <c r="H65">
        <v>0.04</v>
      </c>
      <c r="I65">
        <v>0.06501567010394105</v>
      </c>
      <c r="J65" t="s">
        <v>772</v>
      </c>
      <c r="K65" t="s">
        <v>772</v>
      </c>
      <c r="L65">
        <v>5.6</v>
      </c>
      <c r="M65">
        <v>1.32</v>
      </c>
      <c r="N65">
        <v>0.2357142857142857</v>
      </c>
      <c r="O65">
        <v>39</v>
      </c>
      <c r="P65">
        <v>0.04051989624422681</v>
      </c>
      <c r="Q65">
        <v>0.520172733218579</v>
      </c>
      <c r="R65" t="s">
        <v>776</v>
      </c>
      <c r="S65" t="s">
        <v>786</v>
      </c>
      <c r="T65">
        <v>37259.681937</v>
      </c>
      <c r="U65" s="2">
        <v>44411</v>
      </c>
      <c r="V65" t="s">
        <v>797</v>
      </c>
    </row>
    <row r="66" spans="1:22">
      <c r="A66" s="1" t="s">
        <v>86</v>
      </c>
      <c r="B66">
        <f>HYPERLINK("https://www.suredividend.com/sure-analysis-AXS/","Axis Capital Holdings Ltd")</f>
        <v>0</v>
      </c>
      <c r="C66">
        <v>51.69</v>
      </c>
      <c r="D66">
        <v>53</v>
      </c>
      <c r="E66">
        <v>0.9752830188679245</v>
      </c>
      <c r="F66">
        <v>0.03250145095763204</v>
      </c>
      <c r="G66">
        <v>0.005018063386914129</v>
      </c>
      <c r="H66">
        <v>0.03</v>
      </c>
      <c r="I66">
        <v>0.06444498445267688</v>
      </c>
      <c r="J66" t="s">
        <v>772</v>
      </c>
      <c r="K66" t="s">
        <v>772</v>
      </c>
      <c r="L66">
        <v>5.1</v>
      </c>
      <c r="M66">
        <v>1.68</v>
      </c>
      <c r="N66">
        <v>0.3294117647058823</v>
      </c>
      <c r="O66">
        <v>19</v>
      </c>
      <c r="P66">
        <v>0.03025579475561258</v>
      </c>
      <c r="Q66">
        <v>0.197727660477062</v>
      </c>
      <c r="R66" t="s">
        <v>776</v>
      </c>
      <c r="S66" t="s">
        <v>786</v>
      </c>
      <c r="T66">
        <v>4403.780772</v>
      </c>
      <c r="U66" s="2">
        <v>44409</v>
      </c>
      <c r="V66" t="s">
        <v>795</v>
      </c>
    </row>
    <row r="67" spans="1:22">
      <c r="A67" s="1" t="s">
        <v>87</v>
      </c>
      <c r="B67">
        <f>HYPERLINK("https://www.suredividend.com/sure-analysis-FFMR/","First Farmers Financial Corp")</f>
        <v>0</v>
      </c>
      <c r="C67">
        <v>48</v>
      </c>
      <c r="D67">
        <v>45</v>
      </c>
      <c r="E67">
        <v>1.066666666666667</v>
      </c>
      <c r="F67">
        <v>0.0275</v>
      </c>
      <c r="G67">
        <v>-0.01282475708259012</v>
      </c>
      <c r="H67">
        <v>0.05</v>
      </c>
      <c r="I67">
        <v>0.0643095224866157</v>
      </c>
      <c r="J67" t="s">
        <v>772</v>
      </c>
      <c r="K67" t="s">
        <v>772</v>
      </c>
      <c r="L67">
        <v>4.5</v>
      </c>
      <c r="M67">
        <v>1.32</v>
      </c>
      <c r="N67">
        <v>0.2933333333333333</v>
      </c>
      <c r="O67">
        <v>30</v>
      </c>
      <c r="P67">
        <v>0.0698417929634616</v>
      </c>
      <c r="Q67">
        <v>0.08338938368686401</v>
      </c>
      <c r="R67" t="s">
        <v>776</v>
      </c>
      <c r="S67" t="s">
        <v>786</v>
      </c>
      <c r="T67">
        <v>337.795248</v>
      </c>
      <c r="U67" s="2">
        <v>44253</v>
      </c>
      <c r="V67" t="s">
        <v>795</v>
      </c>
    </row>
    <row r="68" spans="1:22">
      <c r="A68" s="1" t="s">
        <v>88</v>
      </c>
      <c r="B68">
        <f>HYPERLINK("https://www.suredividend.com/sure-analysis-KO/","Coca-Cola Co")</f>
        <v>0</v>
      </c>
      <c r="C68">
        <v>53.94</v>
      </c>
      <c r="D68">
        <v>50</v>
      </c>
      <c r="E68">
        <v>1.0788</v>
      </c>
      <c r="F68">
        <v>0.03114571746384872</v>
      </c>
      <c r="G68">
        <v>-0.01505537972007265</v>
      </c>
      <c r="H68">
        <v>0.05</v>
      </c>
      <c r="I68">
        <v>0.06315961545753246</v>
      </c>
      <c r="J68" t="s">
        <v>772</v>
      </c>
      <c r="K68" t="s">
        <v>772</v>
      </c>
      <c r="L68">
        <v>2.25</v>
      </c>
      <c r="M68">
        <v>1.68</v>
      </c>
      <c r="N68">
        <v>0.7466666666666666</v>
      </c>
      <c r="O68">
        <v>59</v>
      </c>
      <c r="P68">
        <v>0.03959498820755258</v>
      </c>
      <c r="Q68">
        <v>0.123373088533676</v>
      </c>
      <c r="R68" t="s">
        <v>776</v>
      </c>
      <c r="S68" t="s">
        <v>785</v>
      </c>
      <c r="T68">
        <v>234900.362738</v>
      </c>
      <c r="U68" s="2">
        <v>44400</v>
      </c>
      <c r="V68" t="s">
        <v>795</v>
      </c>
    </row>
    <row r="69" spans="1:22">
      <c r="A69" s="1" t="s">
        <v>89</v>
      </c>
      <c r="B69">
        <f>HYPERLINK("https://www.suredividend.com/sure-analysis-SON/","Sonoco Products Co.")</f>
        <v>0</v>
      </c>
      <c r="C69">
        <v>61.37</v>
      </c>
      <c r="D69">
        <v>57</v>
      </c>
      <c r="E69">
        <v>1.076666666666667</v>
      </c>
      <c r="F69">
        <v>0.02933029167345609</v>
      </c>
      <c r="G69">
        <v>-0.01466537009636038</v>
      </c>
      <c r="H69">
        <v>0.05</v>
      </c>
      <c r="I69">
        <v>0.06275333257021765</v>
      </c>
      <c r="J69" t="s">
        <v>772</v>
      </c>
      <c r="K69" t="s">
        <v>772</v>
      </c>
      <c r="L69">
        <v>3.55</v>
      </c>
      <c r="M69">
        <v>1.8</v>
      </c>
      <c r="N69">
        <v>0.5070422535211268</v>
      </c>
      <c r="O69">
        <v>38</v>
      </c>
      <c r="P69">
        <v>0.05024607263868264</v>
      </c>
      <c r="Q69">
        <v>0.139856485932162</v>
      </c>
      <c r="R69" t="s">
        <v>776</v>
      </c>
      <c r="S69" t="s">
        <v>788</v>
      </c>
      <c r="T69">
        <v>6027.315941</v>
      </c>
      <c r="U69" s="2">
        <v>44400</v>
      </c>
      <c r="V69" t="s">
        <v>792</v>
      </c>
    </row>
    <row r="70" spans="1:22">
      <c r="A70" s="1" t="s">
        <v>90</v>
      </c>
      <c r="B70">
        <f>HYPERLINK("https://www.suredividend.com/sure-analysis-ADP/","Automatic Data Processing Inc.")</f>
        <v>0</v>
      </c>
      <c r="C70">
        <v>212.57</v>
      </c>
      <c r="D70">
        <v>180</v>
      </c>
      <c r="E70">
        <v>1.180944444444444</v>
      </c>
      <c r="F70">
        <v>0.01750011760831726</v>
      </c>
      <c r="G70">
        <v>-0.03271577189653241</v>
      </c>
      <c r="H70">
        <v>0.08</v>
      </c>
      <c r="I70">
        <v>0.06266445477377802</v>
      </c>
      <c r="J70" t="s">
        <v>772</v>
      </c>
      <c r="K70" t="s">
        <v>773</v>
      </c>
      <c r="L70">
        <v>6.65</v>
      </c>
      <c r="M70">
        <v>3.72</v>
      </c>
      <c r="N70">
        <v>0.5593984962406015</v>
      </c>
      <c r="O70">
        <v>46</v>
      </c>
      <c r="P70">
        <v>0.08016195651539393</v>
      </c>
      <c r="Q70">
        <v>0.463578889499725</v>
      </c>
      <c r="R70" t="s">
        <v>776</v>
      </c>
      <c r="S70" t="s">
        <v>783</v>
      </c>
      <c r="T70">
        <v>90031.615888</v>
      </c>
      <c r="U70" s="2">
        <v>44408</v>
      </c>
      <c r="V70" t="s">
        <v>795</v>
      </c>
    </row>
    <row r="71" spans="1:22">
      <c r="A71" s="1" t="s">
        <v>91</v>
      </c>
      <c r="B71">
        <f>HYPERLINK("https://www.suredividend.com/sure-analysis-AMP/","Ameriprise Financial Inc")</f>
        <v>0</v>
      </c>
      <c r="C71">
        <v>289.01</v>
      </c>
      <c r="D71">
        <v>247</v>
      </c>
      <c r="E71">
        <v>1.170080971659919</v>
      </c>
      <c r="F71">
        <v>0.01563959724577004</v>
      </c>
      <c r="G71">
        <v>-0.03092627906830625</v>
      </c>
      <c r="H71">
        <v>0.08</v>
      </c>
      <c r="I71">
        <v>0.06261711770382505</v>
      </c>
      <c r="J71" t="s">
        <v>772</v>
      </c>
      <c r="K71" t="s">
        <v>773</v>
      </c>
      <c r="L71">
        <v>21.49</v>
      </c>
      <c r="M71">
        <v>4.52</v>
      </c>
      <c r="N71">
        <v>0.2103303862261517</v>
      </c>
      <c r="O71">
        <v>17</v>
      </c>
      <c r="P71">
        <v>0.07995566992594827</v>
      </c>
      <c r="Q71">
        <v>0.7392259133681051</v>
      </c>
      <c r="R71" t="s">
        <v>776</v>
      </c>
      <c r="S71" t="s">
        <v>786</v>
      </c>
      <c r="T71">
        <v>32971.534758</v>
      </c>
      <c r="U71" s="2">
        <v>44404</v>
      </c>
      <c r="V71" t="s">
        <v>792</v>
      </c>
    </row>
    <row r="72" spans="1:22">
      <c r="A72" s="1" t="s">
        <v>92</v>
      </c>
      <c r="B72">
        <f>HYPERLINK("https://www.suredividend.com/sure-analysis-RE/","Everest Re Group Ltd")</f>
        <v>0</v>
      </c>
      <c r="C72">
        <v>276.35</v>
      </c>
      <c r="D72">
        <v>306</v>
      </c>
      <c r="E72">
        <v>0.9031045751633988</v>
      </c>
      <c r="F72">
        <v>0.02243531753211507</v>
      </c>
      <c r="G72">
        <v>0.02059254463290805</v>
      </c>
      <c r="H72">
        <v>0.02</v>
      </c>
      <c r="I72">
        <v>0.06227955061521695</v>
      </c>
      <c r="J72" t="s">
        <v>772</v>
      </c>
      <c r="K72" t="s">
        <v>773</v>
      </c>
      <c r="L72">
        <v>34</v>
      </c>
      <c r="M72">
        <v>6.2</v>
      </c>
      <c r="N72">
        <v>0.1823529411764706</v>
      </c>
      <c r="O72">
        <v>8</v>
      </c>
      <c r="P72">
        <v>0.04992181337625223</v>
      </c>
      <c r="Q72">
        <v>0.421163837540446</v>
      </c>
      <c r="R72" t="s">
        <v>776</v>
      </c>
      <c r="S72" t="s">
        <v>786</v>
      </c>
      <c r="T72">
        <v>11050.571767</v>
      </c>
      <c r="U72" s="2">
        <v>44417</v>
      </c>
      <c r="V72" t="s">
        <v>794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162.45</v>
      </c>
      <c r="D73">
        <v>138</v>
      </c>
      <c r="E73">
        <v>1.177173913043478</v>
      </c>
      <c r="F73">
        <v>0.01625115420129271</v>
      </c>
      <c r="G73">
        <v>-0.03209691487624988</v>
      </c>
      <c r="H73">
        <v>0.08</v>
      </c>
      <c r="I73">
        <v>0.06129735399315184</v>
      </c>
      <c r="J73" t="s">
        <v>772</v>
      </c>
      <c r="K73" t="s">
        <v>378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0.333760189129952</v>
      </c>
      <c r="R73" t="s">
        <v>776</v>
      </c>
      <c r="S73" t="s">
        <v>786</v>
      </c>
      <c r="T73">
        <v>9556.032916</v>
      </c>
      <c r="U73" s="2">
        <v>44432</v>
      </c>
      <c r="V73" t="s">
        <v>796</v>
      </c>
    </row>
    <row r="74" spans="1:22">
      <c r="A74" s="1" t="s">
        <v>94</v>
      </c>
      <c r="B74">
        <f>HYPERLINK("https://www.suredividend.com/sure-analysis-EXPD/","Expeditors International Of Washington, Inc.")</f>
        <v>0</v>
      </c>
      <c r="C74">
        <v>118.73</v>
      </c>
      <c r="D74">
        <v>120</v>
      </c>
      <c r="E74">
        <v>0.9894166666666667</v>
      </c>
      <c r="F74">
        <v>0.009770066537522108</v>
      </c>
      <c r="G74">
        <v>0.002130212706932477</v>
      </c>
      <c r="H74">
        <v>0.05</v>
      </c>
      <c r="I74">
        <v>0.06106097345250205</v>
      </c>
      <c r="J74" t="s">
        <v>772</v>
      </c>
      <c r="K74" t="s">
        <v>378</v>
      </c>
      <c r="L74">
        <v>6.69</v>
      </c>
      <c r="M74">
        <v>1.16</v>
      </c>
      <c r="N74">
        <v>0.1733931240657698</v>
      </c>
      <c r="O74">
        <v>27</v>
      </c>
      <c r="P74">
        <v>0.03980577390781126</v>
      </c>
      <c r="Q74">
        <v>0.257222584509925</v>
      </c>
      <c r="R74" t="s">
        <v>776</v>
      </c>
      <c r="S74" t="s">
        <v>783</v>
      </c>
      <c r="T74">
        <v>19717.567797</v>
      </c>
      <c r="U74" s="2">
        <v>44425</v>
      </c>
      <c r="V74" t="s">
        <v>798</v>
      </c>
    </row>
    <row r="75" spans="1:22">
      <c r="A75" s="1" t="s">
        <v>95</v>
      </c>
      <c r="B75">
        <f>HYPERLINK("https://www.suredividend.com/sure-analysis-KR/","Kroger Co.")</f>
        <v>0</v>
      </c>
      <c r="C75">
        <v>39.21</v>
      </c>
      <c r="D75">
        <v>43</v>
      </c>
      <c r="E75">
        <v>0.9118604651162791</v>
      </c>
      <c r="F75">
        <v>0.02142310635042081</v>
      </c>
      <c r="G75">
        <v>0.01862498086983311</v>
      </c>
      <c r="H75">
        <v>0.02</v>
      </c>
      <c r="I75">
        <v>0.06071625857211971</v>
      </c>
      <c r="J75" t="s">
        <v>772</v>
      </c>
      <c r="K75" t="s">
        <v>773</v>
      </c>
      <c r="L75">
        <v>3.3</v>
      </c>
      <c r="M75">
        <v>0.84</v>
      </c>
      <c r="N75">
        <v>0.2545454545454546</v>
      </c>
      <c r="O75">
        <v>16</v>
      </c>
      <c r="P75">
        <v>0.07033701387905711</v>
      </c>
      <c r="Q75">
        <v>0.156493776990598</v>
      </c>
      <c r="R75" t="s">
        <v>776</v>
      </c>
      <c r="S75" t="s">
        <v>785</v>
      </c>
      <c r="T75">
        <v>28697.009291</v>
      </c>
      <c r="U75" s="2">
        <v>44451</v>
      </c>
      <c r="V75" t="s">
        <v>797</v>
      </c>
    </row>
    <row r="76" spans="1:22">
      <c r="A76" s="1" t="s">
        <v>96</v>
      </c>
      <c r="B76">
        <f>HYPERLINK("https://www.suredividend.com/sure-analysis-VFC/","VF Corp.")</f>
        <v>0</v>
      </c>
      <c r="C76">
        <v>72.93000000000001</v>
      </c>
      <c r="D76">
        <v>61</v>
      </c>
      <c r="E76">
        <v>1.195573770491803</v>
      </c>
      <c r="F76">
        <v>0.02687508569861511</v>
      </c>
      <c r="G76">
        <v>-0.03509462800924545</v>
      </c>
      <c r="H76">
        <v>0.07000000000000001</v>
      </c>
      <c r="I76">
        <v>0.05778876079985329</v>
      </c>
      <c r="J76" t="s">
        <v>772</v>
      </c>
      <c r="K76" t="s">
        <v>773</v>
      </c>
      <c r="L76">
        <v>3.2</v>
      </c>
      <c r="M76">
        <v>1.96</v>
      </c>
      <c r="N76">
        <v>0.6124999999999999</v>
      </c>
      <c r="O76">
        <v>48</v>
      </c>
      <c r="P76">
        <v>0.03959498820755258</v>
      </c>
      <c r="Q76">
        <v>-0.005778784089757001</v>
      </c>
      <c r="R76" t="s">
        <v>776</v>
      </c>
      <c r="S76" t="s">
        <v>788</v>
      </c>
      <c r="T76">
        <v>28857.799393</v>
      </c>
      <c r="U76" s="2">
        <v>44415</v>
      </c>
      <c r="V76" t="s">
        <v>797</v>
      </c>
    </row>
    <row r="77" spans="1:22">
      <c r="A77" s="1" t="s">
        <v>97</v>
      </c>
      <c r="B77">
        <f>HYPERLINK("https://www.suredividend.com/sure-analysis-UGI/","UGI Corp.")</f>
        <v>0</v>
      </c>
      <c r="C77">
        <v>44</v>
      </c>
      <c r="D77">
        <v>47</v>
      </c>
      <c r="E77">
        <v>0.9361702127659575</v>
      </c>
      <c r="F77">
        <v>0.03136363636363636</v>
      </c>
      <c r="G77">
        <v>0.01327898648986037</v>
      </c>
      <c r="H77">
        <v>0.016</v>
      </c>
      <c r="I77">
        <v>0.05730885333189173</v>
      </c>
      <c r="J77" t="s">
        <v>772</v>
      </c>
      <c r="K77" t="s">
        <v>772</v>
      </c>
      <c r="L77">
        <v>3</v>
      </c>
      <c r="M77">
        <v>1.38</v>
      </c>
      <c r="N77">
        <v>0.46</v>
      </c>
      <c r="O77">
        <v>34</v>
      </c>
      <c r="P77">
        <v>0.01681614782195462</v>
      </c>
      <c r="Q77">
        <v>0.326536436194978</v>
      </c>
      <c r="R77" t="s">
        <v>776</v>
      </c>
      <c r="S77" t="s">
        <v>787</v>
      </c>
      <c r="T77">
        <v>9233.718927</v>
      </c>
      <c r="U77" s="2">
        <v>44420</v>
      </c>
      <c r="V77" t="s">
        <v>800</v>
      </c>
    </row>
    <row r="78" spans="1:22">
      <c r="A78" s="1" t="s">
        <v>98</v>
      </c>
      <c r="B78">
        <f>HYPERLINK("https://www.suredividend.com/sure-analysis-LANC/","Lancaster Colony Corp.")</f>
        <v>0</v>
      </c>
      <c r="C78">
        <v>170.79</v>
      </c>
      <c r="D78">
        <v>170</v>
      </c>
      <c r="E78">
        <v>1.004647058823529</v>
      </c>
      <c r="F78">
        <v>0.01756543123133673</v>
      </c>
      <c r="G78">
        <v>-0.000926829144465624</v>
      </c>
      <c r="H78">
        <v>0.04</v>
      </c>
      <c r="I78">
        <v>0.05596645844521353</v>
      </c>
      <c r="J78" t="s">
        <v>772</v>
      </c>
      <c r="K78" t="s">
        <v>773</v>
      </c>
      <c r="L78">
        <v>6.3</v>
      </c>
      <c r="M78">
        <v>3</v>
      </c>
      <c r="N78">
        <v>0.4761904761904762</v>
      </c>
      <c r="O78">
        <v>58</v>
      </c>
      <c r="P78">
        <v>0.05006335758366887</v>
      </c>
      <c r="Q78">
        <v>0.004908355619333</v>
      </c>
      <c r="R78" t="s">
        <v>776</v>
      </c>
      <c r="S78" t="s">
        <v>785</v>
      </c>
      <c r="T78">
        <v>4750.261296</v>
      </c>
      <c r="U78" s="2">
        <v>44444</v>
      </c>
      <c r="V78" t="s">
        <v>795</v>
      </c>
    </row>
    <row r="79" spans="1:22">
      <c r="A79" s="1" t="s">
        <v>99</v>
      </c>
      <c r="B79">
        <f>HYPERLINK("https://www.suredividend.com/sure-analysis-CHD/","Church &amp; Dwight Co., Inc.")</f>
        <v>0</v>
      </c>
      <c r="C79">
        <v>82.92</v>
      </c>
      <c r="D79">
        <v>75</v>
      </c>
      <c r="E79">
        <v>1.1056</v>
      </c>
      <c r="F79">
        <v>0.01218041485769416</v>
      </c>
      <c r="G79">
        <v>-0.01987742127350478</v>
      </c>
      <c r="H79">
        <v>0.06</v>
      </c>
      <c r="I79">
        <v>0.05150749976358804</v>
      </c>
      <c r="J79" t="s">
        <v>772</v>
      </c>
      <c r="K79" t="s">
        <v>378</v>
      </c>
      <c r="L79">
        <v>3</v>
      </c>
      <c r="M79">
        <v>1.01</v>
      </c>
      <c r="N79">
        <v>0.3366666666666667</v>
      </c>
      <c r="O79">
        <v>25</v>
      </c>
      <c r="P79">
        <v>0.0705165705095081</v>
      </c>
      <c r="Q79">
        <v>-0.09398261141462401</v>
      </c>
      <c r="R79" t="s">
        <v>776</v>
      </c>
      <c r="S79" t="s">
        <v>785</v>
      </c>
      <c r="T79">
        <v>20490.580624</v>
      </c>
      <c r="U79" s="2">
        <v>44414</v>
      </c>
      <c r="V79" t="s">
        <v>795</v>
      </c>
    </row>
    <row r="80" spans="1:22">
      <c r="A80" s="1" t="s">
        <v>100</v>
      </c>
      <c r="B80">
        <f>HYPERLINK("https://www.suredividend.com/sure-analysis-SYY/","Sysco Corp.")</f>
        <v>0</v>
      </c>
      <c r="C80">
        <v>81.3</v>
      </c>
      <c r="D80">
        <v>66</v>
      </c>
      <c r="E80">
        <v>1.231818181818182</v>
      </c>
      <c r="F80">
        <v>0.02312423124231242</v>
      </c>
      <c r="G80">
        <v>-0.04084084151794587</v>
      </c>
      <c r="H80">
        <v>0.07000000000000001</v>
      </c>
      <c r="I80">
        <v>0.05143688181285921</v>
      </c>
      <c r="J80" t="s">
        <v>772</v>
      </c>
      <c r="K80" t="s">
        <v>773</v>
      </c>
      <c r="L80">
        <v>3.3</v>
      </c>
      <c r="M80">
        <v>1.88</v>
      </c>
      <c r="N80">
        <v>0.5696969696969697</v>
      </c>
      <c r="O80">
        <v>51</v>
      </c>
      <c r="P80">
        <v>0.07981721406627784</v>
      </c>
      <c r="Q80">
        <v>0.279613034559823</v>
      </c>
      <c r="R80" t="s">
        <v>776</v>
      </c>
      <c r="S80" t="s">
        <v>785</v>
      </c>
      <c r="T80">
        <v>42119.288568</v>
      </c>
      <c r="U80" s="2">
        <v>44445</v>
      </c>
      <c r="V80" t="s">
        <v>798</v>
      </c>
    </row>
    <row r="81" spans="1:22">
      <c r="A81" s="1" t="s">
        <v>101</v>
      </c>
      <c r="B81">
        <f>HYPERLINK("https://www.suredividend.com/sure-analysis-PNR/","Pentair plc")</f>
        <v>0</v>
      </c>
      <c r="C81">
        <v>72.47</v>
      </c>
      <c r="D81">
        <v>64</v>
      </c>
      <c r="E81">
        <v>1.13234375</v>
      </c>
      <c r="F81">
        <v>0.01103905064164482</v>
      </c>
      <c r="G81">
        <v>-0.02455150604821765</v>
      </c>
      <c r="H81">
        <v>0.065</v>
      </c>
      <c r="I81">
        <v>0.04993655769364524</v>
      </c>
      <c r="J81" t="s">
        <v>772</v>
      </c>
      <c r="K81" t="s">
        <v>773</v>
      </c>
      <c r="L81">
        <v>3.35</v>
      </c>
      <c r="M81">
        <v>0.8</v>
      </c>
      <c r="N81">
        <v>0.2388059701492537</v>
      </c>
      <c r="O81">
        <v>44</v>
      </c>
      <c r="P81">
        <v>0.05988502997905321</v>
      </c>
      <c r="Q81">
        <v>0.45957240295407</v>
      </c>
      <c r="R81" t="s">
        <v>776</v>
      </c>
      <c r="S81" t="s">
        <v>783</v>
      </c>
      <c r="T81">
        <v>11922.2397</v>
      </c>
      <c r="U81" s="2">
        <v>44409</v>
      </c>
      <c r="V81" t="s">
        <v>794</v>
      </c>
    </row>
    <row r="82" spans="1:22">
      <c r="A82" s="1" t="s">
        <v>102</v>
      </c>
      <c r="B82">
        <f>HYPERLINK("https://www.suredividend.com/sure-analysis-GPC/","Genuine Parts Co.")</f>
        <v>0</v>
      </c>
      <c r="C82">
        <v>126.78</v>
      </c>
      <c r="D82">
        <v>107</v>
      </c>
      <c r="E82">
        <v>1.184859813084112</v>
      </c>
      <c r="F82">
        <v>0.02571383498974602</v>
      </c>
      <c r="G82">
        <v>-0.03335589661970406</v>
      </c>
      <c r="H82">
        <v>0.06</v>
      </c>
      <c r="I82">
        <v>0.04968474501482922</v>
      </c>
      <c r="J82" t="s">
        <v>772</v>
      </c>
      <c r="K82" t="s">
        <v>772</v>
      </c>
      <c r="L82">
        <v>6.3</v>
      </c>
      <c r="M82">
        <v>3.26</v>
      </c>
      <c r="N82">
        <v>0.5174603174603174</v>
      </c>
      <c r="O82">
        <v>65</v>
      </c>
      <c r="P82">
        <v>0.04019456757723883</v>
      </c>
      <c r="Q82">
        <v>0.29673639211824</v>
      </c>
      <c r="R82" t="s">
        <v>776</v>
      </c>
      <c r="S82" t="s">
        <v>788</v>
      </c>
      <c r="T82">
        <v>18215.197748</v>
      </c>
      <c r="U82" s="2">
        <v>44403</v>
      </c>
      <c r="V82" t="s">
        <v>795</v>
      </c>
    </row>
    <row r="83" spans="1:22">
      <c r="A83" s="1" t="s">
        <v>103</v>
      </c>
      <c r="B83">
        <f>HYPERLINK("https://www.suredividend.com/sure-analysis-FUL/","H.B. Fuller Company")</f>
        <v>0</v>
      </c>
      <c r="C83">
        <v>68.26000000000001</v>
      </c>
      <c r="D83">
        <v>54</v>
      </c>
      <c r="E83">
        <v>1.264074074074074</v>
      </c>
      <c r="F83">
        <v>0.009815411661295048</v>
      </c>
      <c r="G83">
        <v>-0.04578663488761892</v>
      </c>
      <c r="H83">
        <v>0.09</v>
      </c>
      <c r="I83">
        <v>0.04968104419559349</v>
      </c>
      <c r="J83" t="s">
        <v>772</v>
      </c>
      <c r="K83" t="s">
        <v>378</v>
      </c>
      <c r="L83">
        <v>3.6</v>
      </c>
      <c r="M83">
        <v>0.67</v>
      </c>
      <c r="N83">
        <v>0.1861111111111111</v>
      </c>
      <c r="O83">
        <v>52</v>
      </c>
      <c r="P83">
        <v>0.05119849323654324</v>
      </c>
      <c r="Q83">
        <v>0.388996158614662</v>
      </c>
      <c r="R83" t="s">
        <v>776</v>
      </c>
      <c r="S83" t="s">
        <v>782</v>
      </c>
      <c r="T83">
        <v>3591.543982</v>
      </c>
      <c r="U83" s="2">
        <v>44463</v>
      </c>
      <c r="V83" t="s">
        <v>796</v>
      </c>
    </row>
    <row r="84" spans="1:22">
      <c r="A84" s="1" t="s">
        <v>104</v>
      </c>
      <c r="B84">
        <f>HYPERLINK("https://www.suredividend.com/sure-analysis-CPKF/","Chesapeake Financial Shares Inc")</f>
        <v>0</v>
      </c>
      <c r="C84">
        <v>30</v>
      </c>
      <c r="D84">
        <v>48</v>
      </c>
      <c r="E84">
        <v>0.625</v>
      </c>
      <c r="F84">
        <v>0.01733333333333333</v>
      </c>
      <c r="G84">
        <v>0.09856054330611785</v>
      </c>
      <c r="H84">
        <v>-0.06</v>
      </c>
      <c r="I84">
        <v>0.04923381530628101</v>
      </c>
      <c r="J84" t="s">
        <v>772</v>
      </c>
      <c r="K84" t="s">
        <v>773</v>
      </c>
      <c r="L84">
        <v>5</v>
      </c>
      <c r="M84">
        <v>0.52</v>
      </c>
      <c r="N84">
        <v>0.104</v>
      </c>
      <c r="O84">
        <v>29</v>
      </c>
      <c r="P84">
        <v>0.0391241569508578</v>
      </c>
      <c r="Q84">
        <v>0.487439400617012</v>
      </c>
      <c r="R84" t="s">
        <v>776</v>
      </c>
      <c r="S84" t="s">
        <v>786</v>
      </c>
      <c r="T84">
        <v>142.866771</v>
      </c>
      <c r="U84" s="2">
        <v>44407</v>
      </c>
      <c r="V84" t="s">
        <v>795</v>
      </c>
    </row>
    <row r="85" spans="1:22">
      <c r="A85" s="1" t="s">
        <v>105</v>
      </c>
      <c r="B85">
        <f>HYPERLINK("https://www.suredividend.com/sure-analysis-GD/","General Dynamics Corp.")</f>
        <v>0</v>
      </c>
      <c r="C85">
        <v>206.66</v>
      </c>
      <c r="D85">
        <v>173</v>
      </c>
      <c r="E85">
        <v>1.194566473988439</v>
      </c>
      <c r="F85">
        <v>0.02303300106455047</v>
      </c>
      <c r="G85">
        <v>-0.0349319550791175</v>
      </c>
      <c r="H85">
        <v>0.06</v>
      </c>
      <c r="I85">
        <v>0.04695634640888735</v>
      </c>
      <c r="J85" t="s">
        <v>772</v>
      </c>
      <c r="K85" t="s">
        <v>773</v>
      </c>
      <c r="L85">
        <v>11.5</v>
      </c>
      <c r="M85">
        <v>4.76</v>
      </c>
      <c r="N85">
        <v>0.4139130434782609</v>
      </c>
      <c r="O85">
        <v>30</v>
      </c>
      <c r="P85">
        <v>0.06000153927394081</v>
      </c>
      <c r="Q85">
        <v>0.5013017150312</v>
      </c>
      <c r="R85" t="s">
        <v>776</v>
      </c>
      <c r="S85" t="s">
        <v>783</v>
      </c>
      <c r="T85">
        <v>58161.386597</v>
      </c>
      <c r="U85" s="2">
        <v>44423</v>
      </c>
      <c r="V85" t="s">
        <v>799</v>
      </c>
    </row>
    <row r="86" spans="1:22">
      <c r="A86" s="1" t="s">
        <v>106</v>
      </c>
      <c r="B86">
        <f>HYPERLINK("https://www.suredividend.com/sure-analysis-HRL/","Hormel Foods Corp.")</f>
        <v>0</v>
      </c>
      <c r="C86">
        <v>42.12</v>
      </c>
      <c r="D86">
        <v>37</v>
      </c>
      <c r="E86">
        <v>1.138378378378378</v>
      </c>
      <c r="F86">
        <v>0.02326685660018993</v>
      </c>
      <c r="G86">
        <v>-0.0255878909563817</v>
      </c>
      <c r="H86">
        <v>0.05</v>
      </c>
      <c r="I86">
        <v>0.0466550692647747</v>
      </c>
      <c r="J86" t="s">
        <v>772</v>
      </c>
      <c r="K86" t="s">
        <v>773</v>
      </c>
      <c r="L86">
        <v>1.7</v>
      </c>
      <c r="M86">
        <v>0.98</v>
      </c>
      <c r="N86">
        <v>0.5764705882352941</v>
      </c>
      <c r="O86">
        <v>55</v>
      </c>
      <c r="P86">
        <v>0.04987304960985517</v>
      </c>
      <c r="Q86">
        <v>-0.120207388525574</v>
      </c>
      <c r="R86" t="s">
        <v>776</v>
      </c>
      <c r="S86" t="s">
        <v>785</v>
      </c>
      <c r="T86">
        <v>23145.475605</v>
      </c>
      <c r="U86" s="2">
        <v>44444</v>
      </c>
      <c r="V86" t="s">
        <v>795</v>
      </c>
    </row>
    <row r="87" spans="1:22">
      <c r="A87" s="1" t="s">
        <v>107</v>
      </c>
      <c r="B87">
        <f>HYPERLINK("https://www.suredividend.com/sure-analysis-COST/","Costco Wholesale Corp")</f>
        <v>0</v>
      </c>
      <c r="C87">
        <v>461.95</v>
      </c>
      <c r="D87">
        <v>362</v>
      </c>
      <c r="E87">
        <v>1.276104972375691</v>
      </c>
      <c r="F87">
        <v>0.006840567160948155</v>
      </c>
      <c r="G87">
        <v>-0.04759269057697313</v>
      </c>
      <c r="H87">
        <v>0.09</v>
      </c>
      <c r="I87">
        <v>0.04591747420982739</v>
      </c>
      <c r="J87" t="s">
        <v>772</v>
      </c>
      <c r="K87" t="s">
        <v>378</v>
      </c>
      <c r="L87">
        <v>12.05</v>
      </c>
      <c r="M87">
        <v>3.16</v>
      </c>
      <c r="N87">
        <v>0.2622406639004149</v>
      </c>
      <c r="O87">
        <v>18</v>
      </c>
      <c r="P87">
        <v>0.1000340793951375</v>
      </c>
      <c r="Q87">
        <v>0.226409263227295</v>
      </c>
      <c r="R87" t="s">
        <v>776</v>
      </c>
      <c r="S87" t="s">
        <v>785</v>
      </c>
      <c r="T87">
        <v>199876.673858</v>
      </c>
      <c r="U87" s="2">
        <v>44465</v>
      </c>
      <c r="V87" t="s">
        <v>795</v>
      </c>
    </row>
    <row r="88" spans="1:22">
      <c r="A88" s="1" t="s">
        <v>108</v>
      </c>
      <c r="B88">
        <f>HYPERLINK("https://www.suredividend.com/sure-analysis-WSM/","Williams-Sonoma, Inc.")</f>
        <v>0</v>
      </c>
      <c r="C88">
        <v>185.65</v>
      </c>
      <c r="D88">
        <v>192</v>
      </c>
      <c r="E88">
        <v>0.9669270833333333</v>
      </c>
      <c r="F88">
        <v>0.01529760301642876</v>
      </c>
      <c r="G88">
        <v>0.006749111575241606</v>
      </c>
      <c r="H88">
        <v>0.02</v>
      </c>
      <c r="I88">
        <v>0.0428211817578843</v>
      </c>
      <c r="J88" t="s">
        <v>772</v>
      </c>
      <c r="K88" t="s">
        <v>378</v>
      </c>
      <c r="L88">
        <v>12</v>
      </c>
      <c r="M88">
        <v>2.84</v>
      </c>
      <c r="N88">
        <v>0.2366666666666667</v>
      </c>
      <c r="O88">
        <v>15</v>
      </c>
      <c r="P88">
        <v>0.05996872493653238</v>
      </c>
      <c r="Q88">
        <v>0.765024888148592</v>
      </c>
      <c r="R88" t="s">
        <v>776</v>
      </c>
      <c r="S88" t="s">
        <v>788</v>
      </c>
      <c r="T88">
        <v>13553.864414</v>
      </c>
      <c r="U88" s="2">
        <v>44435</v>
      </c>
      <c r="V88" t="s">
        <v>797</v>
      </c>
    </row>
    <row r="89" spans="1:22">
      <c r="A89" s="1" t="s">
        <v>109</v>
      </c>
      <c r="B89">
        <f>HYPERLINK("https://www.suredividend.com/sure-analysis-MGRC/","McGrath Rentcorp")</f>
        <v>0</v>
      </c>
      <c r="C89">
        <v>74.67</v>
      </c>
      <c r="D89">
        <v>71</v>
      </c>
      <c r="E89">
        <v>1.051690140845071</v>
      </c>
      <c r="F89">
        <v>0.02330253113700281</v>
      </c>
      <c r="G89">
        <v>-0.01002907562330602</v>
      </c>
      <c r="H89">
        <v>0.03</v>
      </c>
      <c r="I89">
        <v>0.0422438605985116</v>
      </c>
      <c r="J89" t="s">
        <v>772</v>
      </c>
      <c r="K89" t="s">
        <v>773</v>
      </c>
      <c r="L89">
        <v>4.04</v>
      </c>
      <c r="M89">
        <v>1.74</v>
      </c>
      <c r="N89">
        <v>0.4306930693069307</v>
      </c>
      <c r="O89">
        <v>30</v>
      </c>
      <c r="P89">
        <v>0.0302922291651091</v>
      </c>
      <c r="Q89">
        <v>0.197874519522557</v>
      </c>
      <c r="R89" t="s">
        <v>776</v>
      </c>
      <c r="S89" t="s">
        <v>783</v>
      </c>
      <c r="T89">
        <v>1837.548255</v>
      </c>
      <c r="U89" s="2">
        <v>44416</v>
      </c>
      <c r="V89" t="s">
        <v>792</v>
      </c>
    </row>
    <row r="90" spans="1:22">
      <c r="A90" s="1" t="s">
        <v>110</v>
      </c>
      <c r="B90">
        <f>HYPERLINK("https://www.suredividend.com/sure-analysis-AROW/","Arrow Financial Corp.")</f>
        <v>0</v>
      </c>
      <c r="C90">
        <v>35.59</v>
      </c>
      <c r="D90">
        <v>40</v>
      </c>
      <c r="E90">
        <v>0.88975</v>
      </c>
      <c r="F90">
        <v>0.02922169148637258</v>
      </c>
      <c r="G90">
        <v>0.02363800248480974</v>
      </c>
      <c r="H90">
        <v>-0.01</v>
      </c>
      <c r="I90">
        <v>0.04126747471035874</v>
      </c>
      <c r="J90" t="s">
        <v>772</v>
      </c>
      <c r="K90" t="s">
        <v>772</v>
      </c>
      <c r="L90">
        <v>3.35</v>
      </c>
      <c r="M90">
        <v>1.04</v>
      </c>
      <c r="N90">
        <v>0.3104477611940298</v>
      </c>
      <c r="O90">
        <v>26</v>
      </c>
      <c r="P90">
        <v>0.02031177855938826</v>
      </c>
      <c r="Q90">
        <v>0.401621039151687</v>
      </c>
      <c r="R90" t="s">
        <v>776</v>
      </c>
      <c r="S90" t="s">
        <v>786</v>
      </c>
      <c r="T90">
        <v>559.1581169999999</v>
      </c>
      <c r="U90" s="2">
        <v>44408</v>
      </c>
      <c r="V90" t="s">
        <v>795</v>
      </c>
    </row>
    <row r="91" spans="1:22">
      <c r="A91" s="1" t="s">
        <v>111</v>
      </c>
      <c r="B91">
        <f>HYPERLINK("https://www.suredividend.com/sure-analysis-ORCL/","Oracle Corp.")</f>
        <v>0</v>
      </c>
      <c r="C91">
        <v>96.51000000000001</v>
      </c>
      <c r="D91">
        <v>75</v>
      </c>
      <c r="E91">
        <v>1.2868</v>
      </c>
      <c r="F91">
        <v>0.01326287431354264</v>
      </c>
      <c r="G91">
        <v>-0.04918113573211558</v>
      </c>
      <c r="H91">
        <v>0.08</v>
      </c>
      <c r="I91">
        <v>0.04118356662812883</v>
      </c>
      <c r="J91" t="s">
        <v>772</v>
      </c>
      <c r="K91" t="s">
        <v>378</v>
      </c>
      <c r="L91">
        <v>4.7</v>
      </c>
      <c r="M91">
        <v>1.28</v>
      </c>
      <c r="N91">
        <v>0.2723404255319149</v>
      </c>
      <c r="O91">
        <v>12</v>
      </c>
      <c r="P91">
        <v>0.07056368416916192</v>
      </c>
      <c r="Q91">
        <v>0.6055551906438891</v>
      </c>
      <c r="R91" t="s">
        <v>776</v>
      </c>
      <c r="S91" t="s">
        <v>784</v>
      </c>
      <c r="T91">
        <v>261030.60407</v>
      </c>
      <c r="U91" s="2">
        <v>44476</v>
      </c>
      <c r="V91" t="s">
        <v>794</v>
      </c>
    </row>
    <row r="92" spans="1:22">
      <c r="A92" s="1" t="s">
        <v>112</v>
      </c>
      <c r="B92">
        <f>HYPERLINK("https://www.suredividend.com/sure-analysis-THFF/","First Financial Corp. - Indiana")</f>
        <v>0</v>
      </c>
      <c r="C92">
        <v>42.12</v>
      </c>
      <c r="D92">
        <v>48</v>
      </c>
      <c r="E92">
        <v>0.8774999999999999</v>
      </c>
      <c r="F92">
        <v>0.0251661918328585</v>
      </c>
      <c r="G92">
        <v>0.02648019618477426</v>
      </c>
      <c r="H92">
        <v>-0.01</v>
      </c>
      <c r="I92">
        <v>0.04011264474267318</v>
      </c>
      <c r="J92" t="s">
        <v>772</v>
      </c>
      <c r="K92" t="s">
        <v>772</v>
      </c>
      <c r="L92">
        <v>4.35</v>
      </c>
      <c r="M92">
        <v>1.06</v>
      </c>
      <c r="N92">
        <v>0.2436781609195403</v>
      </c>
      <c r="O92">
        <v>32</v>
      </c>
      <c r="P92">
        <v>0.01994322923769842</v>
      </c>
      <c r="Q92">
        <v>0.28480507933404</v>
      </c>
      <c r="R92" t="s">
        <v>776</v>
      </c>
      <c r="S92" t="s">
        <v>786</v>
      </c>
      <c r="T92">
        <v>548.678029</v>
      </c>
      <c r="U92" s="2">
        <v>44424</v>
      </c>
      <c r="V92" t="s">
        <v>795</v>
      </c>
    </row>
    <row r="93" spans="1:22">
      <c r="A93" s="1" t="s">
        <v>113</v>
      </c>
      <c r="B93">
        <f>HYPERLINK("https://www.suredividend.com/sure-analysis-EMR/","Emerson Electric Co.")</f>
        <v>0</v>
      </c>
      <c r="C93">
        <v>95.77</v>
      </c>
      <c r="D93">
        <v>78</v>
      </c>
      <c r="E93">
        <v>1.227820512820513</v>
      </c>
      <c r="F93">
        <v>0.0210922000626501</v>
      </c>
      <c r="G93">
        <v>-0.04021706683026138</v>
      </c>
      <c r="H93">
        <v>0.06</v>
      </c>
      <c r="I93">
        <v>0.03803598213323167</v>
      </c>
      <c r="J93" t="s">
        <v>772</v>
      </c>
      <c r="K93" t="s">
        <v>773</v>
      </c>
      <c r="L93">
        <v>4.1</v>
      </c>
      <c r="M93">
        <v>2.02</v>
      </c>
      <c r="N93">
        <v>0.4926829268292683</v>
      </c>
      <c r="O93">
        <v>64</v>
      </c>
      <c r="P93">
        <v>0.02984744908834402</v>
      </c>
      <c r="Q93">
        <v>0.393812943983949</v>
      </c>
      <c r="R93" t="s">
        <v>776</v>
      </c>
      <c r="S93" t="s">
        <v>783</v>
      </c>
      <c r="T93">
        <v>57227.394</v>
      </c>
      <c r="U93" s="2">
        <v>44427</v>
      </c>
      <c r="V93" t="s">
        <v>795</v>
      </c>
    </row>
    <row r="94" spans="1:22">
      <c r="A94" s="1" t="s">
        <v>114</v>
      </c>
      <c r="B94">
        <f>HYPERLINK("https://www.suredividend.com/sure-analysis-MDT/","Medtronic Plc")</f>
        <v>0</v>
      </c>
      <c r="C94">
        <v>120.72</v>
      </c>
      <c r="D94">
        <v>97</v>
      </c>
      <c r="E94">
        <v>1.244536082474227</v>
      </c>
      <c r="F94">
        <v>0.01921802518223989</v>
      </c>
      <c r="G94">
        <v>-0.04280923142519399</v>
      </c>
      <c r="H94">
        <v>0.06</v>
      </c>
      <c r="I94">
        <v>0.03744255692001008</v>
      </c>
      <c r="J94" t="s">
        <v>772</v>
      </c>
      <c r="K94" t="s">
        <v>773</v>
      </c>
      <c r="L94">
        <v>5.7</v>
      </c>
      <c r="M94">
        <v>2.32</v>
      </c>
      <c r="N94">
        <v>0.4070175438596491</v>
      </c>
      <c r="O94">
        <v>44</v>
      </c>
      <c r="P94">
        <v>0.0930602902721327</v>
      </c>
      <c r="Q94">
        <v>0.183341515603434</v>
      </c>
      <c r="R94" t="s">
        <v>776</v>
      </c>
      <c r="S94" t="s">
        <v>781</v>
      </c>
      <c r="T94">
        <v>171683.758995</v>
      </c>
      <c r="U94" s="2">
        <v>44432</v>
      </c>
      <c r="V94" t="s">
        <v>797</v>
      </c>
    </row>
    <row r="95" spans="1:22">
      <c r="A95" s="1" t="s">
        <v>115</v>
      </c>
      <c r="B95">
        <f>HYPERLINK("https://www.suredividend.com/sure-analysis-RPM/","RPM International, Inc.")</f>
        <v>0</v>
      </c>
      <c r="C95">
        <v>84.19</v>
      </c>
      <c r="D95">
        <v>72</v>
      </c>
      <c r="E95">
        <v>1.169305555555556</v>
      </c>
      <c r="F95">
        <v>0.01900463237914242</v>
      </c>
      <c r="G95">
        <v>-0.03079778637077946</v>
      </c>
      <c r="H95">
        <v>0.05</v>
      </c>
      <c r="I95">
        <v>0.03742776822837324</v>
      </c>
      <c r="J95" t="s">
        <v>772</v>
      </c>
      <c r="K95" t="s">
        <v>773</v>
      </c>
      <c r="L95">
        <v>4</v>
      </c>
      <c r="M95">
        <v>1.6</v>
      </c>
      <c r="N95">
        <v>0.4</v>
      </c>
      <c r="O95">
        <v>48</v>
      </c>
      <c r="P95">
        <v>0.04978904632428516</v>
      </c>
      <c r="Q95">
        <v>-0.05497960888448201</v>
      </c>
      <c r="R95" t="s">
        <v>776</v>
      </c>
      <c r="S95" t="s">
        <v>782</v>
      </c>
      <c r="T95">
        <v>10829.964294</v>
      </c>
      <c r="U95" s="2">
        <v>44475</v>
      </c>
      <c r="V95" t="s">
        <v>792</v>
      </c>
    </row>
    <row r="96" spans="1:22">
      <c r="A96" s="1" t="s">
        <v>116</v>
      </c>
      <c r="B96">
        <f>HYPERLINK("https://www.suredividend.com/sure-analysis-CSX/","CSX Corp.")</f>
        <v>0</v>
      </c>
      <c r="C96">
        <v>34.23</v>
      </c>
      <c r="D96">
        <v>26</v>
      </c>
      <c r="E96">
        <v>1.316538461538461</v>
      </c>
      <c r="F96">
        <v>0.01080923166812738</v>
      </c>
      <c r="G96">
        <v>-0.05351597164703725</v>
      </c>
      <c r="H96">
        <v>0.08</v>
      </c>
      <c r="I96">
        <v>0.03549160888087832</v>
      </c>
      <c r="J96" t="s">
        <v>772</v>
      </c>
      <c r="K96" t="s">
        <v>378</v>
      </c>
      <c r="L96">
        <v>1.45</v>
      </c>
      <c r="M96">
        <v>0.37</v>
      </c>
      <c r="N96">
        <v>0.2551724137931035</v>
      </c>
      <c r="O96">
        <v>16</v>
      </c>
      <c r="P96">
        <v>0.1087611317268407</v>
      </c>
      <c r="Q96">
        <v>0.290264096210793</v>
      </c>
      <c r="R96" t="s">
        <v>776</v>
      </c>
      <c r="S96" t="s">
        <v>783</v>
      </c>
      <c r="T96">
        <v>77013.580286</v>
      </c>
      <c r="U96" s="2">
        <v>44399</v>
      </c>
      <c r="V96" t="s">
        <v>795</v>
      </c>
    </row>
    <row r="97" spans="1:22">
      <c r="A97" s="1" t="s">
        <v>117</v>
      </c>
      <c r="B97">
        <f>HYPERLINK("https://www.suredividend.com/sure-analysis-CSL/","Carlisle Companies Inc.")</f>
        <v>0</v>
      </c>
      <c r="C97">
        <v>216.96</v>
      </c>
      <c r="D97">
        <v>173</v>
      </c>
      <c r="E97">
        <v>1.254104046242775</v>
      </c>
      <c r="F97">
        <v>0.00995575221238938</v>
      </c>
      <c r="G97">
        <v>-0.04427425246522154</v>
      </c>
      <c r="H97">
        <v>0.07000000000000001</v>
      </c>
      <c r="I97">
        <v>0.03328011809853937</v>
      </c>
      <c r="J97" t="s">
        <v>772</v>
      </c>
      <c r="K97" t="s">
        <v>378</v>
      </c>
      <c r="L97">
        <v>9.1</v>
      </c>
      <c r="M97">
        <v>2.16</v>
      </c>
      <c r="N97">
        <v>0.2373626373626374</v>
      </c>
      <c r="O97">
        <v>45</v>
      </c>
      <c r="P97">
        <v>0.05995839365595068</v>
      </c>
      <c r="Q97">
        <v>0.7209287266059271</v>
      </c>
      <c r="R97" t="s">
        <v>776</v>
      </c>
      <c r="S97" t="s">
        <v>783</v>
      </c>
      <c r="T97">
        <v>11359.20988</v>
      </c>
      <c r="U97" s="2">
        <v>44417</v>
      </c>
      <c r="V97" t="s">
        <v>794</v>
      </c>
    </row>
    <row r="98" spans="1:22">
      <c r="A98" s="1" t="s">
        <v>118</v>
      </c>
      <c r="B98">
        <f>HYPERLINK("https://www.suredividend.com/sure-analysis-CB/","Chubb Limited")</f>
        <v>0</v>
      </c>
      <c r="C98">
        <v>177.7</v>
      </c>
      <c r="D98">
        <v>149</v>
      </c>
      <c r="E98">
        <v>1.19261744966443</v>
      </c>
      <c r="F98">
        <v>0.01800787844682048</v>
      </c>
      <c r="G98">
        <v>-0.03461673032129531</v>
      </c>
      <c r="H98">
        <v>0.05</v>
      </c>
      <c r="I98">
        <v>0.0329810034324316</v>
      </c>
      <c r="J98" t="s">
        <v>772</v>
      </c>
      <c r="K98" t="s">
        <v>773</v>
      </c>
      <c r="L98">
        <v>12.4</v>
      </c>
      <c r="M98">
        <v>3.2</v>
      </c>
      <c r="N98">
        <v>0.2580645161290323</v>
      </c>
      <c r="O98">
        <v>28</v>
      </c>
      <c r="P98">
        <v>0.05488534927137567</v>
      </c>
      <c r="Q98">
        <v>0.549072914334926</v>
      </c>
      <c r="R98" t="s">
        <v>776</v>
      </c>
      <c r="S98" t="s">
        <v>786</v>
      </c>
      <c r="T98">
        <v>79547.95538299999</v>
      </c>
      <c r="U98" s="2">
        <v>44413</v>
      </c>
      <c r="V98" t="s">
        <v>794</v>
      </c>
    </row>
    <row r="99" spans="1:22">
      <c r="A99" s="1" t="s">
        <v>119</v>
      </c>
      <c r="B99">
        <f>HYPERLINK("https://www.suredividend.com/sure-analysis-CBSH/","Commerce Bancshares, Inc.")</f>
        <v>0</v>
      </c>
      <c r="C99">
        <v>71.59999999999999</v>
      </c>
      <c r="D99">
        <v>58</v>
      </c>
      <c r="E99">
        <v>1.234482758620689</v>
      </c>
      <c r="F99">
        <v>0.01466480446927374</v>
      </c>
      <c r="G99">
        <v>-0.04125526005562186</v>
      </c>
      <c r="H99">
        <v>0.06</v>
      </c>
      <c r="I99">
        <v>0.03263369950148665</v>
      </c>
      <c r="J99" t="s">
        <v>772</v>
      </c>
      <c r="K99" t="s">
        <v>773</v>
      </c>
      <c r="L99">
        <v>4.15</v>
      </c>
      <c r="M99">
        <v>1.05</v>
      </c>
      <c r="N99">
        <v>0.2530120481927711</v>
      </c>
      <c r="O99">
        <v>53</v>
      </c>
      <c r="P99">
        <v>0.06961037572506878</v>
      </c>
      <c r="Q99">
        <v>0.302157589582739</v>
      </c>
      <c r="R99" t="s">
        <v>776</v>
      </c>
      <c r="S99" t="s">
        <v>786</v>
      </c>
      <c r="T99">
        <v>8321.131992000001</v>
      </c>
      <c r="U99" s="2">
        <v>44403</v>
      </c>
      <c r="V99" t="s">
        <v>794</v>
      </c>
    </row>
    <row r="100" spans="1:22">
      <c r="A100" s="1" t="s">
        <v>120</v>
      </c>
      <c r="B100">
        <f>HYPERLINK("https://www.suredividend.com/sure-analysis-DOV/","Dover Corp.")</f>
        <v>0</v>
      </c>
      <c r="C100">
        <v>166.79</v>
      </c>
      <c r="D100">
        <v>125</v>
      </c>
      <c r="E100">
        <v>1.33432</v>
      </c>
      <c r="F100">
        <v>0.01199112656634091</v>
      </c>
      <c r="G100">
        <v>-0.05605215165253707</v>
      </c>
      <c r="H100">
        <v>0.08</v>
      </c>
      <c r="I100">
        <v>0.0320240520871149</v>
      </c>
      <c r="J100" t="s">
        <v>772</v>
      </c>
      <c r="K100" t="s">
        <v>773</v>
      </c>
      <c r="L100">
        <v>7.35</v>
      </c>
      <c r="M100">
        <v>2</v>
      </c>
      <c r="N100">
        <v>0.272108843537415</v>
      </c>
      <c r="O100">
        <v>66</v>
      </c>
      <c r="P100">
        <v>0.04978904632428516</v>
      </c>
      <c r="Q100">
        <v>0.462211516321578</v>
      </c>
      <c r="R100" t="s">
        <v>776</v>
      </c>
      <c r="S100" t="s">
        <v>783</v>
      </c>
      <c r="T100">
        <v>23769.389648</v>
      </c>
      <c r="U100" s="2">
        <v>44397</v>
      </c>
      <c r="V100" t="s">
        <v>792</v>
      </c>
    </row>
    <row r="101" spans="1:22">
      <c r="A101" s="1" t="s">
        <v>121</v>
      </c>
      <c r="B101">
        <f>HYPERLINK("https://www.suredividend.com/sure-analysis-TGT/","Target Corp")</f>
        <v>0</v>
      </c>
      <c r="C101">
        <v>253.65</v>
      </c>
      <c r="D101">
        <v>234</v>
      </c>
      <c r="E101">
        <v>1.083974358974359</v>
      </c>
      <c r="F101">
        <v>0.01419278533412182</v>
      </c>
      <c r="G101">
        <v>-0.01599750831314328</v>
      </c>
      <c r="H101">
        <v>0.03</v>
      </c>
      <c r="I101">
        <v>0.02911440935835152</v>
      </c>
      <c r="J101" t="s">
        <v>772</v>
      </c>
      <c r="K101" t="s">
        <v>773</v>
      </c>
      <c r="L101">
        <v>13</v>
      </c>
      <c r="M101">
        <v>3.6</v>
      </c>
      <c r="N101">
        <v>0.2769230769230769</v>
      </c>
      <c r="O101">
        <v>54</v>
      </c>
      <c r="P101">
        <v>0.06010506010596317</v>
      </c>
      <c r="Q101">
        <v>0.5060429275253231</v>
      </c>
      <c r="R101" t="s">
        <v>776</v>
      </c>
      <c r="S101" t="s">
        <v>785</v>
      </c>
      <c r="T101">
        <v>119916.075713</v>
      </c>
      <c r="U101" s="2">
        <v>44429</v>
      </c>
      <c r="V101" t="s">
        <v>795</v>
      </c>
    </row>
    <row r="102" spans="1:22">
      <c r="A102" s="1" t="s">
        <v>122</v>
      </c>
      <c r="B102">
        <f>HYPERLINK("https://www.suredividend.com/sure-analysis-MCO/","Moody`s Corp.")</f>
        <v>0</v>
      </c>
      <c r="C102">
        <v>374</v>
      </c>
      <c r="D102">
        <v>309</v>
      </c>
      <c r="E102">
        <v>1.210355987055016</v>
      </c>
      <c r="F102">
        <v>0.006631016042780749</v>
      </c>
      <c r="G102">
        <v>-0.03746312715376987</v>
      </c>
      <c r="H102">
        <v>0.06</v>
      </c>
      <c r="I102">
        <v>0.02861359210667103</v>
      </c>
      <c r="J102" t="s">
        <v>772</v>
      </c>
      <c r="K102" t="s">
        <v>486</v>
      </c>
      <c r="L102">
        <v>11.9</v>
      </c>
      <c r="M102">
        <v>2.48</v>
      </c>
      <c r="N102">
        <v>0.2084033613445378</v>
      </c>
      <c r="O102">
        <v>12</v>
      </c>
      <c r="P102">
        <v>0.1100560807786035</v>
      </c>
      <c r="Q102">
        <v>0.2942386192742451</v>
      </c>
      <c r="R102" t="s">
        <v>776</v>
      </c>
      <c r="S102" t="s">
        <v>786</v>
      </c>
      <c r="T102">
        <v>69113.716</v>
      </c>
      <c r="U102" s="2">
        <v>44409</v>
      </c>
      <c r="V102" t="s">
        <v>795</v>
      </c>
    </row>
    <row r="103" spans="1:22">
      <c r="A103" s="1" t="s">
        <v>123</v>
      </c>
      <c r="B103">
        <f>HYPERLINK("https://www.suredividend.com/sure-analysis-PG/","Procter &amp; Gamble Co.")</f>
        <v>0</v>
      </c>
      <c r="C103">
        <v>142.34</v>
      </c>
      <c r="D103">
        <v>118</v>
      </c>
      <c r="E103">
        <v>1.206271186440678</v>
      </c>
      <c r="F103">
        <v>0.02444850358297035</v>
      </c>
      <c r="G103">
        <v>-0.0368121199208894</v>
      </c>
      <c r="H103">
        <v>0.04</v>
      </c>
      <c r="I103">
        <v>0.0280678113242272</v>
      </c>
      <c r="J103" t="s">
        <v>772</v>
      </c>
      <c r="K103" t="s">
        <v>772</v>
      </c>
      <c r="L103">
        <v>5.9</v>
      </c>
      <c r="M103">
        <v>3.48</v>
      </c>
      <c r="N103">
        <v>0.5898305084745762</v>
      </c>
      <c r="O103">
        <v>65</v>
      </c>
      <c r="P103">
        <v>0.04515835609077623</v>
      </c>
      <c r="Q103">
        <v>0.024698628484663</v>
      </c>
      <c r="R103" t="s">
        <v>776</v>
      </c>
      <c r="S103" t="s">
        <v>785</v>
      </c>
      <c r="T103">
        <v>350697.348628</v>
      </c>
      <c r="U103" s="2">
        <v>44413</v>
      </c>
      <c r="V103" t="s">
        <v>797</v>
      </c>
    </row>
    <row r="104" spans="1:22">
      <c r="A104" s="1" t="s">
        <v>124</v>
      </c>
      <c r="B104">
        <f>HYPERLINK("https://www.suredividend.com/sure-analysis-ITW/","Illinois Tool Works, Inc.")</f>
        <v>0</v>
      </c>
      <c r="C104">
        <v>221.79</v>
      </c>
      <c r="D104">
        <v>166</v>
      </c>
      <c r="E104">
        <v>1.336084337349398</v>
      </c>
      <c r="F104">
        <v>0.008476486766761351</v>
      </c>
      <c r="G104">
        <v>-0.05630158543473629</v>
      </c>
      <c r="H104">
        <v>0.07000000000000001</v>
      </c>
      <c r="I104">
        <v>0.02742514013658437</v>
      </c>
      <c r="J104" t="s">
        <v>772</v>
      </c>
      <c r="K104" t="s">
        <v>378</v>
      </c>
      <c r="L104">
        <v>8.75</v>
      </c>
      <c r="M104">
        <v>1.88</v>
      </c>
      <c r="N104">
        <v>0.2148571428571429</v>
      </c>
      <c r="O104">
        <v>46</v>
      </c>
      <c r="P104">
        <v>0.2827767102750014</v>
      </c>
      <c r="Q104">
        <v>0.105007071016743</v>
      </c>
      <c r="R104" t="s">
        <v>776</v>
      </c>
      <c r="S104" t="s">
        <v>783</v>
      </c>
      <c r="T104">
        <v>70385.857395</v>
      </c>
      <c r="U104" s="2">
        <v>44413</v>
      </c>
      <c r="V104" t="s">
        <v>797</v>
      </c>
    </row>
    <row r="105" spans="1:22">
      <c r="A105" s="1" t="s">
        <v>125</v>
      </c>
      <c r="B105">
        <f>HYPERLINK("https://www.suredividend.com/sure-analysis-GWW/","W.W. Grainger Inc.")</f>
        <v>0</v>
      </c>
      <c r="C105">
        <v>430.87</v>
      </c>
      <c r="D105">
        <v>356</v>
      </c>
      <c r="E105">
        <v>1.210308988764045</v>
      </c>
      <c r="F105">
        <v>0.01503933901176689</v>
      </c>
      <c r="G105">
        <v>-0.03745565189153566</v>
      </c>
      <c r="H105">
        <v>0.05</v>
      </c>
      <c r="I105">
        <v>0.02734814709623512</v>
      </c>
      <c r="J105" t="s">
        <v>772</v>
      </c>
      <c r="K105" t="s">
        <v>773</v>
      </c>
      <c r="L105">
        <v>19.75</v>
      </c>
      <c r="M105">
        <v>6.48</v>
      </c>
      <c r="N105">
        <v>0.3281012658227848</v>
      </c>
      <c r="O105">
        <v>50</v>
      </c>
      <c r="P105">
        <v>0.06020279266594519</v>
      </c>
      <c r="Q105">
        <v>0.136017021853467</v>
      </c>
      <c r="R105" t="s">
        <v>776</v>
      </c>
      <c r="S105" t="s">
        <v>783</v>
      </c>
      <c r="T105">
        <v>22342.505445</v>
      </c>
      <c r="U105" s="2">
        <v>44413</v>
      </c>
      <c r="V105" t="s">
        <v>797</v>
      </c>
    </row>
    <row r="106" spans="1:22">
      <c r="A106" s="1" t="s">
        <v>126</v>
      </c>
      <c r="B106">
        <f>HYPERLINK("https://www.suredividend.com/sure-analysis-V/","Visa Inc")</f>
        <v>0</v>
      </c>
      <c r="C106">
        <v>230.65</v>
      </c>
      <c r="D106">
        <v>144</v>
      </c>
      <c r="E106">
        <v>1.601736111111111</v>
      </c>
      <c r="F106">
        <v>0.005549533925861695</v>
      </c>
      <c r="G106">
        <v>-0.08991531383875995</v>
      </c>
      <c r="H106">
        <v>0.12</v>
      </c>
      <c r="I106">
        <v>0.02691884434332259</v>
      </c>
      <c r="J106" t="s">
        <v>772</v>
      </c>
      <c r="K106" t="s">
        <v>486</v>
      </c>
      <c r="L106">
        <v>5.75</v>
      </c>
      <c r="M106">
        <v>1.28</v>
      </c>
      <c r="N106">
        <v>0.2226086956521739</v>
      </c>
      <c r="O106">
        <v>13</v>
      </c>
      <c r="P106">
        <v>0.1395805480611745</v>
      </c>
      <c r="Q106">
        <v>0.160241863137771</v>
      </c>
      <c r="R106" t="s">
        <v>776</v>
      </c>
      <c r="S106" t="s">
        <v>786</v>
      </c>
      <c r="T106">
        <v>509101.96</v>
      </c>
      <c r="U106" s="2">
        <v>44408</v>
      </c>
      <c r="V106" t="s">
        <v>797</v>
      </c>
    </row>
    <row r="107" spans="1:22">
      <c r="A107" s="1" t="s">
        <v>127</v>
      </c>
      <c r="B107">
        <f>HYPERLINK("https://www.suredividend.com/sure-analysis-PSBQ/","PSB Holdings Inc (WI)")</f>
        <v>0</v>
      </c>
      <c r="C107">
        <v>26.25</v>
      </c>
      <c r="D107">
        <v>27</v>
      </c>
      <c r="E107">
        <v>0.9722222222222222</v>
      </c>
      <c r="F107">
        <v>0.01752380952380952</v>
      </c>
      <c r="G107">
        <v>0.005650077210034965</v>
      </c>
      <c r="H107">
        <v>0</v>
      </c>
      <c r="I107">
        <v>0.02484537708450629</v>
      </c>
      <c r="J107" t="s">
        <v>772</v>
      </c>
      <c r="K107" t="s">
        <v>773</v>
      </c>
      <c r="L107">
        <v>2.7</v>
      </c>
      <c r="M107">
        <v>0.46</v>
      </c>
      <c r="N107">
        <v>0.1703703703703704</v>
      </c>
      <c r="O107">
        <v>28</v>
      </c>
      <c r="P107">
        <v>0.05103901130952315</v>
      </c>
      <c r="Q107">
        <v>0.495155695546429</v>
      </c>
      <c r="R107" t="s">
        <v>776</v>
      </c>
      <c r="S107" t="s">
        <v>786</v>
      </c>
      <c r="T107">
        <v>117.593726</v>
      </c>
      <c r="U107" s="2">
        <v>44409</v>
      </c>
      <c r="V107" t="s">
        <v>795</v>
      </c>
    </row>
    <row r="108" spans="1:22">
      <c r="A108" s="1" t="s">
        <v>128</v>
      </c>
      <c r="B108">
        <f>HYPERLINK("https://www.suredividend.com/sure-analysis-LECO/","Lincoln Electric Holdings, Inc.")</f>
        <v>0</v>
      </c>
      <c r="C108">
        <v>139.55</v>
      </c>
      <c r="D108">
        <v>103</v>
      </c>
      <c r="E108">
        <v>1.354854368932039</v>
      </c>
      <c r="F108">
        <v>0.01461841633823002</v>
      </c>
      <c r="G108">
        <v>-0.05893097978039386</v>
      </c>
      <c r="H108">
        <v>0.07000000000000001</v>
      </c>
      <c r="I108">
        <v>0.02435922127199275</v>
      </c>
      <c r="J108" t="s">
        <v>772</v>
      </c>
      <c r="K108" t="s">
        <v>378</v>
      </c>
      <c r="L108">
        <v>5.7</v>
      </c>
      <c r="M108">
        <v>2.04</v>
      </c>
      <c r="N108">
        <v>0.3578947368421053</v>
      </c>
      <c r="O108">
        <v>25</v>
      </c>
      <c r="P108">
        <v>0.0801851873035635</v>
      </c>
      <c r="Q108">
        <v>0.398586602344378</v>
      </c>
      <c r="R108" t="s">
        <v>776</v>
      </c>
      <c r="S108" t="s">
        <v>783</v>
      </c>
      <c r="T108">
        <v>8243.454084999999</v>
      </c>
      <c r="U108" s="2">
        <v>44404</v>
      </c>
      <c r="V108" t="s">
        <v>794</v>
      </c>
    </row>
    <row r="109" spans="1:22">
      <c r="A109" s="1" t="s">
        <v>129</v>
      </c>
      <c r="B109">
        <f>HYPERLINK("https://www.suredividend.com/sure-analysis-SPGI/","S&amp;P Global Inc")</f>
        <v>0</v>
      </c>
      <c r="C109">
        <v>447.86</v>
      </c>
      <c r="D109">
        <v>342</v>
      </c>
      <c r="E109">
        <v>1.30953216374269</v>
      </c>
      <c r="F109">
        <v>0.006877149109096593</v>
      </c>
      <c r="G109">
        <v>-0.05250535078009555</v>
      </c>
      <c r="H109">
        <v>0.07000000000000001</v>
      </c>
      <c r="I109">
        <v>0.02292025385458185</v>
      </c>
      <c r="J109" t="s">
        <v>772</v>
      </c>
      <c r="K109" t="s">
        <v>378</v>
      </c>
      <c r="L109">
        <v>13.15</v>
      </c>
      <c r="M109">
        <v>3.08</v>
      </c>
      <c r="N109">
        <v>0.2342205323193916</v>
      </c>
      <c r="O109">
        <v>48</v>
      </c>
      <c r="P109">
        <v>0.1200820117377759</v>
      </c>
      <c r="Q109">
        <v>0.285374807846716</v>
      </c>
      <c r="R109" t="s">
        <v>776</v>
      </c>
      <c r="S109" t="s">
        <v>786</v>
      </c>
      <c r="T109">
        <v>106984.72</v>
      </c>
      <c r="U109" s="2">
        <v>44421</v>
      </c>
      <c r="V109" t="s">
        <v>795</v>
      </c>
    </row>
    <row r="110" spans="1:22">
      <c r="A110" s="1" t="s">
        <v>130</v>
      </c>
      <c r="B110">
        <f>HYPERLINK("https://www.suredividend.com/sure-analysis-JKHY/","Jack Henry &amp; Associates, Inc.")</f>
        <v>0</v>
      </c>
      <c r="C110">
        <v>171.05</v>
      </c>
      <c r="D110">
        <v>114</v>
      </c>
      <c r="E110">
        <v>1.500438596491228</v>
      </c>
      <c r="F110">
        <v>0.01075708857059339</v>
      </c>
      <c r="G110">
        <v>-0.07794600349914038</v>
      </c>
      <c r="H110">
        <v>0.095</v>
      </c>
      <c r="I110">
        <v>0.02280415335183994</v>
      </c>
      <c r="J110" t="s">
        <v>772</v>
      </c>
      <c r="K110" t="s">
        <v>378</v>
      </c>
      <c r="L110">
        <v>4.55</v>
      </c>
      <c r="M110">
        <v>1.84</v>
      </c>
      <c r="N110">
        <v>0.4043956043956044</v>
      </c>
      <c r="O110">
        <v>31</v>
      </c>
      <c r="P110">
        <v>0.08991774272866437</v>
      </c>
      <c r="Q110">
        <v>0.060098866094415</v>
      </c>
      <c r="R110" t="s">
        <v>776</v>
      </c>
      <c r="S110" t="s">
        <v>784</v>
      </c>
      <c r="T110">
        <v>12584.292898</v>
      </c>
      <c r="U110" s="2">
        <v>44435</v>
      </c>
      <c r="V110" t="s">
        <v>794</v>
      </c>
    </row>
    <row r="111" spans="1:22">
      <c r="A111" s="1" t="s">
        <v>131</v>
      </c>
      <c r="B111">
        <f>HYPERLINK("https://www.suredividend.com/sure-analysis-CSVI/","Computer Services, Inc.")</f>
        <v>0</v>
      </c>
      <c r="C111">
        <v>54.85</v>
      </c>
      <c r="D111">
        <v>37</v>
      </c>
      <c r="E111">
        <v>1.482432432432433</v>
      </c>
      <c r="F111">
        <v>0.01969006381039198</v>
      </c>
      <c r="G111">
        <v>-0.07571688690286205</v>
      </c>
      <c r="H111">
        <v>0.08</v>
      </c>
      <c r="I111">
        <v>0.02229637703957676</v>
      </c>
      <c r="J111" t="s">
        <v>772</v>
      </c>
      <c r="K111" t="s">
        <v>773</v>
      </c>
      <c r="L111">
        <v>2.15</v>
      </c>
      <c r="M111">
        <v>1.08</v>
      </c>
      <c r="N111">
        <v>0.5023255813953489</v>
      </c>
      <c r="O111">
        <v>50</v>
      </c>
      <c r="P111">
        <v>0.08178074106640287</v>
      </c>
      <c r="Q111">
        <v>-0.06229904860618801</v>
      </c>
      <c r="R111" t="s">
        <v>776</v>
      </c>
      <c r="S111" t="s">
        <v>784</v>
      </c>
      <c r="T111">
        <v>1485.979199</v>
      </c>
      <c r="U111" s="2">
        <v>44477</v>
      </c>
      <c r="V111" t="s">
        <v>796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65.61</v>
      </c>
      <c r="D112">
        <v>49</v>
      </c>
      <c r="E112">
        <v>1.338979591836735</v>
      </c>
      <c r="F112">
        <v>0.01707056851089773</v>
      </c>
      <c r="G112">
        <v>-0.05671004771670096</v>
      </c>
      <c r="H112">
        <v>0.06</v>
      </c>
      <c r="I112">
        <v>0.02068168927296865</v>
      </c>
      <c r="J112" t="s">
        <v>772</v>
      </c>
      <c r="K112" t="s">
        <v>378</v>
      </c>
      <c r="L112">
        <v>2.73</v>
      </c>
      <c r="M112">
        <v>1.12</v>
      </c>
      <c r="N112">
        <v>0.4102564102564103</v>
      </c>
      <c r="O112">
        <v>28</v>
      </c>
      <c r="P112">
        <v>0.08057069246502624</v>
      </c>
      <c r="Q112">
        <v>0.207671748568991</v>
      </c>
      <c r="R112" t="s">
        <v>776</v>
      </c>
      <c r="S112" t="s">
        <v>783</v>
      </c>
      <c r="T112">
        <v>10608.0534</v>
      </c>
      <c r="U112" s="2">
        <v>44417</v>
      </c>
      <c r="V112" t="s">
        <v>794</v>
      </c>
    </row>
    <row r="113" spans="1:22">
      <c r="A113" s="1" t="s">
        <v>133</v>
      </c>
      <c r="B113">
        <f>HYPERLINK("https://www.suredividend.com/sure-analysis-ABT/","Abbott Laboratories")</f>
        <v>0</v>
      </c>
      <c r="C113">
        <v>116.82</v>
      </c>
      <c r="D113">
        <v>88</v>
      </c>
      <c r="E113">
        <v>1.3275</v>
      </c>
      <c r="F113">
        <v>0.01540832049306626</v>
      </c>
      <c r="G113">
        <v>-0.05508423670015905</v>
      </c>
      <c r="H113">
        <v>0.06</v>
      </c>
      <c r="I113">
        <v>0.0197601350804113</v>
      </c>
      <c r="J113" t="s">
        <v>772</v>
      </c>
      <c r="K113" t="s">
        <v>773</v>
      </c>
      <c r="L113">
        <v>4.4</v>
      </c>
      <c r="M113">
        <v>1.8</v>
      </c>
      <c r="N113">
        <v>0.4090909090909091</v>
      </c>
      <c r="O113">
        <v>49</v>
      </c>
      <c r="P113">
        <v>0.06961037572506878</v>
      </c>
      <c r="Q113">
        <v>0.08786432667966601</v>
      </c>
      <c r="R113" t="s">
        <v>776</v>
      </c>
      <c r="S113" t="s">
        <v>781</v>
      </c>
      <c r="T113">
        <v>208288.310334</v>
      </c>
      <c r="U113" s="2">
        <v>44399</v>
      </c>
      <c r="V113" t="s">
        <v>797</v>
      </c>
    </row>
    <row r="114" spans="1:22">
      <c r="A114" s="1" t="s">
        <v>134</v>
      </c>
      <c r="B114">
        <f>HYPERLINK("https://www.suredividend.com/sure-analysis-TROW/","T. Rowe Price Group Inc.")</f>
        <v>0</v>
      </c>
      <c r="C114">
        <v>200.14</v>
      </c>
      <c r="D114">
        <v>175</v>
      </c>
      <c r="E114">
        <v>1.143657142857143</v>
      </c>
      <c r="F114">
        <v>0.02158489057659638</v>
      </c>
      <c r="G114">
        <v>-0.02648907276903589</v>
      </c>
      <c r="H114">
        <v>0.02</v>
      </c>
      <c r="I114">
        <v>0.0172031918247566</v>
      </c>
      <c r="J114" t="s">
        <v>772</v>
      </c>
      <c r="K114" t="s">
        <v>773</v>
      </c>
      <c r="L114">
        <v>12.5</v>
      </c>
      <c r="M114">
        <v>4.32</v>
      </c>
      <c r="N114">
        <v>0.3456</v>
      </c>
      <c r="O114">
        <v>35</v>
      </c>
      <c r="P114">
        <v>0.04563955259127317</v>
      </c>
      <c r="Q114">
        <v>0.411477083635104</v>
      </c>
      <c r="R114" t="s">
        <v>776</v>
      </c>
      <c r="S114" t="s">
        <v>786</v>
      </c>
      <c r="T114">
        <v>45332.912347</v>
      </c>
      <c r="U114" s="2">
        <v>44413</v>
      </c>
      <c r="V114" t="s">
        <v>797</v>
      </c>
    </row>
    <row r="115" spans="1:22">
      <c r="A115" s="1" t="s">
        <v>135</v>
      </c>
      <c r="B115">
        <f>HYPERLINK("https://www.suredividend.com/sure-analysis-SRCE/","1st Source Corp.")</f>
        <v>0</v>
      </c>
      <c r="C115">
        <v>47.56</v>
      </c>
      <c r="D115">
        <v>50</v>
      </c>
      <c r="E115">
        <v>0.9512</v>
      </c>
      <c r="F115">
        <v>0.02607232968881413</v>
      </c>
      <c r="G115">
        <v>0.01005641600219209</v>
      </c>
      <c r="H115">
        <v>-0.02</v>
      </c>
      <c r="I115">
        <v>0.01715110805088638</v>
      </c>
      <c r="J115" t="s">
        <v>772</v>
      </c>
      <c r="K115" t="s">
        <v>772</v>
      </c>
      <c r="L115">
        <v>4</v>
      </c>
      <c r="M115">
        <v>1.24</v>
      </c>
      <c r="N115">
        <v>0.31</v>
      </c>
      <c r="O115">
        <v>34</v>
      </c>
      <c r="P115">
        <v>0.02013999925026777</v>
      </c>
      <c r="Q115">
        <v>0.493339797738701</v>
      </c>
      <c r="R115" t="s">
        <v>776</v>
      </c>
      <c r="S115" t="s">
        <v>786</v>
      </c>
      <c r="T115">
        <v>1201.547766</v>
      </c>
      <c r="U115" s="2">
        <v>44400</v>
      </c>
      <c r="V115" t="s">
        <v>795</v>
      </c>
    </row>
    <row r="116" spans="1:22">
      <c r="A116" s="1" t="s">
        <v>136</v>
      </c>
      <c r="B116">
        <f>HYPERLINK("https://www.suredividend.com/sure-analysis-FELE/","Franklin Electric Co., Inc.")</f>
        <v>0</v>
      </c>
      <c r="C116">
        <v>84.93000000000001</v>
      </c>
      <c r="D116">
        <v>57</v>
      </c>
      <c r="E116">
        <v>1.49</v>
      </c>
      <c r="F116">
        <v>0.008242081714352995</v>
      </c>
      <c r="G116">
        <v>-0.07665766922203987</v>
      </c>
      <c r="H116">
        <v>0.09</v>
      </c>
      <c r="I116">
        <v>0.01661069458205788</v>
      </c>
      <c r="J116" t="s">
        <v>772</v>
      </c>
      <c r="K116" t="s">
        <v>378</v>
      </c>
      <c r="L116">
        <v>3</v>
      </c>
      <c r="M116">
        <v>0.7</v>
      </c>
      <c r="N116">
        <v>0.2333333333333333</v>
      </c>
      <c r="O116">
        <v>29</v>
      </c>
      <c r="P116">
        <v>0.08652960720047997</v>
      </c>
      <c r="Q116">
        <v>0.324230893974512</v>
      </c>
      <c r="R116" t="s">
        <v>776</v>
      </c>
      <c r="S116" t="s">
        <v>783</v>
      </c>
      <c r="T116">
        <v>3886.395898</v>
      </c>
      <c r="U116" s="2">
        <v>44425</v>
      </c>
      <c r="V116" t="s">
        <v>796</v>
      </c>
    </row>
    <row r="117" spans="1:22">
      <c r="A117" s="1" t="s">
        <v>137</v>
      </c>
      <c r="B117">
        <f>HYPERLINK("https://www.suredividend.com/sure-analysis-OZK/","Bank OZK")</f>
        <v>0</v>
      </c>
      <c r="C117">
        <v>44.53</v>
      </c>
      <c r="D117">
        <v>42</v>
      </c>
      <c r="E117">
        <v>1.060238095238095</v>
      </c>
      <c r="F117">
        <v>0.02604985403099034</v>
      </c>
      <c r="G117">
        <v>-0.01163053648467505</v>
      </c>
      <c r="H117">
        <v>0</v>
      </c>
      <c r="I117">
        <v>0.01651111799997307</v>
      </c>
      <c r="J117" t="s">
        <v>772</v>
      </c>
      <c r="K117" t="s">
        <v>773</v>
      </c>
      <c r="L117">
        <v>3.8</v>
      </c>
      <c r="M117">
        <v>1.16</v>
      </c>
      <c r="N117">
        <v>0.3052631578947368</v>
      </c>
      <c r="O117">
        <v>25</v>
      </c>
      <c r="P117">
        <v>0.02927011184548056</v>
      </c>
      <c r="Q117">
        <v>1.125242264251821</v>
      </c>
      <c r="R117" t="s">
        <v>776</v>
      </c>
      <c r="S117" t="s">
        <v>786</v>
      </c>
      <c r="T117">
        <v>5412.61592</v>
      </c>
      <c r="U117" s="2">
        <v>44402</v>
      </c>
      <c r="V117" t="s">
        <v>797</v>
      </c>
    </row>
    <row r="118" spans="1:22">
      <c r="A118" s="1" t="s">
        <v>138</v>
      </c>
      <c r="B118">
        <f>HYPERLINK("https://www.suredividend.com/sure-analysis-UNF/","Unifirst Corp.")</f>
        <v>0</v>
      </c>
      <c r="C118">
        <v>215.11</v>
      </c>
      <c r="D118">
        <v>166</v>
      </c>
      <c r="E118">
        <v>1.295843373493976</v>
      </c>
      <c r="F118">
        <v>0.004648784342894333</v>
      </c>
      <c r="G118">
        <v>-0.05051196233184052</v>
      </c>
      <c r="H118">
        <v>0.063</v>
      </c>
      <c r="I118">
        <v>0.0152508933820743</v>
      </c>
      <c r="J118" t="s">
        <v>772</v>
      </c>
      <c r="K118" t="s">
        <v>486</v>
      </c>
      <c r="L118">
        <v>7.9</v>
      </c>
      <c r="M118">
        <v>1</v>
      </c>
      <c r="N118">
        <v>0.1265822784810126</v>
      </c>
      <c r="O118">
        <v>3</v>
      </c>
      <c r="P118">
        <v>0.09993032380125255</v>
      </c>
      <c r="Q118">
        <v>0.109633275074838</v>
      </c>
      <c r="R118" t="s">
        <v>776</v>
      </c>
      <c r="S118" t="s">
        <v>783</v>
      </c>
      <c r="T118">
        <v>3231.344279</v>
      </c>
      <c r="U118" s="2">
        <v>44424</v>
      </c>
      <c r="V118" t="s">
        <v>793</v>
      </c>
    </row>
    <row r="119" spans="1:22">
      <c r="A119" s="1" t="s">
        <v>139</v>
      </c>
      <c r="B119">
        <f>HYPERLINK("https://www.suredividend.com/sure-analysis-NKE/","Nike, Inc.")</f>
        <v>0</v>
      </c>
      <c r="C119">
        <v>159.43</v>
      </c>
      <c r="D119">
        <v>102</v>
      </c>
      <c r="E119">
        <v>1.563039215686275</v>
      </c>
      <c r="F119">
        <v>0.006899579752869599</v>
      </c>
      <c r="G119">
        <v>-0.08545300910855003</v>
      </c>
      <c r="H119">
        <v>0.1</v>
      </c>
      <c r="I119">
        <v>0.01488609341541425</v>
      </c>
      <c r="J119" t="s">
        <v>772</v>
      </c>
      <c r="K119" t="s">
        <v>378</v>
      </c>
      <c r="L119">
        <v>4.25</v>
      </c>
      <c r="M119">
        <v>1.1</v>
      </c>
      <c r="N119">
        <v>0.2588235294117647</v>
      </c>
      <c r="O119">
        <v>19</v>
      </c>
      <c r="P119">
        <v>0.09980608000232882</v>
      </c>
      <c r="Q119">
        <v>0.244001810774105</v>
      </c>
      <c r="R119" t="s">
        <v>776</v>
      </c>
      <c r="S119" t="s">
        <v>788</v>
      </c>
      <c r="T119">
        <v>248048.840828</v>
      </c>
      <c r="U119" s="2">
        <v>44464</v>
      </c>
      <c r="V119" t="s">
        <v>797</v>
      </c>
    </row>
    <row r="120" spans="1:22">
      <c r="A120" s="1" t="s">
        <v>140</v>
      </c>
      <c r="B120">
        <f>HYPERLINK("https://www.suredividend.com/sure-analysis-SHW/","Sherwin-Williams Co.")</f>
        <v>0</v>
      </c>
      <c r="C120">
        <v>297.35</v>
      </c>
      <c r="D120">
        <v>205</v>
      </c>
      <c r="E120">
        <v>1.450487804878049</v>
      </c>
      <c r="F120">
        <v>0.007398688414326551</v>
      </c>
      <c r="G120">
        <v>-0.07168111895331053</v>
      </c>
      <c r="H120">
        <v>0.08</v>
      </c>
      <c r="I120">
        <v>0.01279951099405729</v>
      </c>
      <c r="J120" t="s">
        <v>772</v>
      </c>
      <c r="K120" t="s">
        <v>378</v>
      </c>
      <c r="L120">
        <v>9.300000000000001</v>
      </c>
      <c r="M120">
        <v>2.2</v>
      </c>
      <c r="N120">
        <v>0.2365591397849462</v>
      </c>
      <c r="O120">
        <v>43</v>
      </c>
      <c r="P120">
        <v>0.1201645102296289</v>
      </c>
      <c r="Q120">
        <v>0.289171205450542</v>
      </c>
      <c r="R120" t="s">
        <v>776</v>
      </c>
      <c r="S120" t="s">
        <v>782</v>
      </c>
      <c r="T120">
        <v>78040.213452</v>
      </c>
      <c r="U120" s="2">
        <v>44405</v>
      </c>
      <c r="V120" t="s">
        <v>797</v>
      </c>
    </row>
    <row r="121" spans="1:22">
      <c r="A121" s="1" t="s">
        <v>141</v>
      </c>
      <c r="B121">
        <f>HYPERLINK("https://www.suredividend.com/sure-analysis-UBSI/","United Bankshares, Inc.")</f>
        <v>0</v>
      </c>
      <c r="C121">
        <v>36.01</v>
      </c>
      <c r="D121">
        <v>33</v>
      </c>
      <c r="E121">
        <v>1.091212121212121</v>
      </c>
      <c r="F121">
        <v>0.03887808941960567</v>
      </c>
      <c r="G121">
        <v>-0.01730631837227814</v>
      </c>
      <c r="H121">
        <v>-0.02</v>
      </c>
      <c r="I121">
        <v>0.006919842209663241</v>
      </c>
      <c r="J121" t="s">
        <v>772</v>
      </c>
      <c r="K121" t="s">
        <v>772</v>
      </c>
      <c r="L121">
        <v>2.75</v>
      </c>
      <c r="M121">
        <v>1.4</v>
      </c>
      <c r="N121">
        <v>0.509090909090909</v>
      </c>
      <c r="O121">
        <v>46</v>
      </c>
      <c r="P121">
        <v>0.02056514630321193</v>
      </c>
      <c r="Q121">
        <v>0.5535736479623541</v>
      </c>
      <c r="R121" t="s">
        <v>776</v>
      </c>
      <c r="S121" t="s">
        <v>786</v>
      </c>
      <c r="T121">
        <v>4683.630246</v>
      </c>
      <c r="U121" s="2">
        <v>44403</v>
      </c>
      <c r="V121" t="s">
        <v>795</v>
      </c>
    </row>
    <row r="122" spans="1:22">
      <c r="A122" s="1" t="s">
        <v>142</v>
      </c>
      <c r="B122">
        <f>HYPERLINK("https://www.suredividend.com/sure-analysis-AMAT/","Applied Materials Inc.")</f>
        <v>0</v>
      </c>
      <c r="C122">
        <v>133.28</v>
      </c>
      <c r="D122">
        <v>103</v>
      </c>
      <c r="E122">
        <v>1.293980582524272</v>
      </c>
      <c r="F122">
        <v>0.007202881152460984</v>
      </c>
      <c r="G122">
        <v>-0.05023874646275683</v>
      </c>
      <c r="H122">
        <v>0.05</v>
      </c>
      <c r="I122">
        <v>0.006859604812941678</v>
      </c>
      <c r="J122" t="s">
        <v>772</v>
      </c>
      <c r="K122" t="s">
        <v>486</v>
      </c>
      <c r="L122">
        <v>6.85</v>
      </c>
      <c r="M122">
        <v>0.96</v>
      </c>
      <c r="N122">
        <v>0.1401459854014599</v>
      </c>
      <c r="O122">
        <v>4</v>
      </c>
      <c r="P122">
        <v>0.1005558662160053</v>
      </c>
      <c r="Q122">
        <v>1.106420749500968</v>
      </c>
      <c r="R122" t="s">
        <v>776</v>
      </c>
      <c r="S122" t="s">
        <v>784</v>
      </c>
      <c r="T122">
        <v>118816.361315</v>
      </c>
      <c r="U122" s="2">
        <v>44430</v>
      </c>
      <c r="V122" t="s">
        <v>795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146.55</v>
      </c>
      <c r="D123">
        <v>99</v>
      </c>
      <c r="E123">
        <v>1.48030303030303</v>
      </c>
      <c r="F123">
        <v>0.006004776526782668</v>
      </c>
      <c r="G123">
        <v>-0.07545112524630271</v>
      </c>
      <c r="H123">
        <v>0.08</v>
      </c>
      <c r="I123">
        <v>0.006787968787016041</v>
      </c>
      <c r="J123" t="s">
        <v>772</v>
      </c>
      <c r="K123" t="s">
        <v>378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0.224765219508977</v>
      </c>
      <c r="R123" t="s">
        <v>776</v>
      </c>
      <c r="S123" t="s">
        <v>784</v>
      </c>
      <c r="T123">
        <v>2394229.24344</v>
      </c>
      <c r="U123" s="2">
        <v>44406</v>
      </c>
      <c r="V123" t="s">
        <v>797</v>
      </c>
    </row>
    <row r="124" spans="1:22">
      <c r="A124" s="1" t="s">
        <v>144</v>
      </c>
      <c r="B124">
        <f>HYPERLINK("https://www.suredividend.com/sure-analysis-CARR/","Carrier Global Corp")</f>
        <v>0</v>
      </c>
      <c r="C124">
        <v>53.98</v>
      </c>
      <c r="D124">
        <v>39</v>
      </c>
      <c r="E124">
        <v>1.384102564102564</v>
      </c>
      <c r="F124">
        <v>0.00889218228973694</v>
      </c>
      <c r="G124">
        <v>-0.06294227485073811</v>
      </c>
      <c r="H124">
        <v>0.06</v>
      </c>
      <c r="I124">
        <v>0.005132364658845923</v>
      </c>
      <c r="J124" t="s">
        <v>772</v>
      </c>
      <c r="K124" t="s">
        <v>486</v>
      </c>
      <c r="L124">
        <v>2.88</v>
      </c>
      <c r="M124">
        <v>0.48</v>
      </c>
      <c r="N124">
        <v>0.1666666666666667</v>
      </c>
      <c r="O124">
        <v>1</v>
      </c>
      <c r="P124">
        <v>0.09626227935295417</v>
      </c>
      <c r="Q124">
        <v>0.64874839537869</v>
      </c>
      <c r="R124" t="s">
        <v>776</v>
      </c>
      <c r="S124" t="s">
        <v>783</v>
      </c>
      <c r="T124">
        <v>46361.285588</v>
      </c>
      <c r="U124" s="2">
        <v>44411</v>
      </c>
      <c r="V124" t="s">
        <v>797</v>
      </c>
    </row>
    <row r="125" spans="1:22">
      <c r="A125" s="1" t="s">
        <v>145</v>
      </c>
      <c r="B125">
        <f>HYPERLINK("https://www.suredividend.com/sure-analysis-GRC/","Gorman-Rupp Co.")</f>
        <v>0</v>
      </c>
      <c r="C125">
        <v>39.14</v>
      </c>
      <c r="D125">
        <v>30</v>
      </c>
      <c r="E125">
        <v>1.304666666666667</v>
      </c>
      <c r="F125">
        <v>0.01584057230454778</v>
      </c>
      <c r="G125">
        <v>-0.05179970373205312</v>
      </c>
      <c r="H125">
        <v>0.04</v>
      </c>
      <c r="I125">
        <v>0.004823585962464572</v>
      </c>
      <c r="J125" t="s">
        <v>772</v>
      </c>
      <c r="K125" t="s">
        <v>773</v>
      </c>
      <c r="L125">
        <v>1.3</v>
      </c>
      <c r="M125">
        <v>0.62</v>
      </c>
      <c r="N125">
        <v>0.4769230769230769</v>
      </c>
      <c r="O125">
        <v>48</v>
      </c>
      <c r="P125">
        <v>0.04965621207400783</v>
      </c>
      <c r="Q125">
        <v>0.208021037980452</v>
      </c>
      <c r="R125" t="s">
        <v>776</v>
      </c>
      <c r="S125" t="s">
        <v>783</v>
      </c>
      <c r="T125">
        <v>1024.948087</v>
      </c>
      <c r="U125" s="2">
        <v>44402</v>
      </c>
      <c r="V125" t="s">
        <v>795</v>
      </c>
    </row>
    <row r="126" spans="1:22">
      <c r="A126" s="1" t="s">
        <v>146</v>
      </c>
      <c r="B126">
        <f>HYPERLINK("https://www.suredividend.com/sure-analysis-SJW/","SJW Group")</f>
        <v>0</v>
      </c>
      <c r="C126">
        <v>67.62</v>
      </c>
      <c r="D126">
        <v>42</v>
      </c>
      <c r="E126">
        <v>1.61</v>
      </c>
      <c r="F126">
        <v>0.02011239278320024</v>
      </c>
      <c r="G126">
        <v>-0.09085150362606875</v>
      </c>
      <c r="H126">
        <v>0.076</v>
      </c>
      <c r="I126">
        <v>0.003185416286819898</v>
      </c>
      <c r="J126" t="s">
        <v>772</v>
      </c>
      <c r="K126" t="s">
        <v>773</v>
      </c>
      <c r="L126">
        <v>1.92</v>
      </c>
      <c r="M126">
        <v>1.36</v>
      </c>
      <c r="N126">
        <v>0.7083333333333334</v>
      </c>
      <c r="O126">
        <v>55</v>
      </c>
      <c r="P126">
        <v>0.06000153927394081</v>
      </c>
      <c r="Q126">
        <v>0.124211090825729</v>
      </c>
      <c r="R126" t="s">
        <v>776</v>
      </c>
      <c r="S126" t="s">
        <v>787</v>
      </c>
      <c r="T126">
        <v>2023.329125</v>
      </c>
      <c r="U126" s="2">
        <v>44417</v>
      </c>
      <c r="V126" t="s">
        <v>792</v>
      </c>
    </row>
    <row r="127" spans="1:22">
      <c r="A127" s="1" t="s">
        <v>147</v>
      </c>
      <c r="B127">
        <f>HYPERLINK("https://www.suredividend.com/sure-analysis-LIN/","Linde Plc")</f>
        <v>0</v>
      </c>
      <c r="C127">
        <v>307.97</v>
      </c>
      <c r="D127">
        <v>214</v>
      </c>
      <c r="E127">
        <v>1.43911214953271</v>
      </c>
      <c r="F127">
        <v>0.01376757476377569</v>
      </c>
      <c r="G127">
        <v>-0.07021813315137382</v>
      </c>
      <c r="H127">
        <v>0.06</v>
      </c>
      <c r="I127">
        <v>0.002911191706228999</v>
      </c>
      <c r="J127" t="s">
        <v>772</v>
      </c>
      <c r="K127" t="s">
        <v>378</v>
      </c>
      <c r="L127">
        <v>10.2</v>
      </c>
      <c r="M127">
        <v>4.24</v>
      </c>
      <c r="N127">
        <v>0.415686274509804</v>
      </c>
      <c r="O127">
        <v>28</v>
      </c>
      <c r="P127">
        <v>0.07011443361889147</v>
      </c>
      <c r="Q127">
        <v>0.3423350725102191</v>
      </c>
      <c r="R127" t="s">
        <v>776</v>
      </c>
      <c r="S127" t="s">
        <v>782</v>
      </c>
      <c r="T127">
        <v>159178.625277</v>
      </c>
      <c r="U127" s="2">
        <v>44424</v>
      </c>
      <c r="V127" t="s">
        <v>794</v>
      </c>
    </row>
    <row r="128" spans="1:22">
      <c r="A128" s="1" t="s">
        <v>148</v>
      </c>
      <c r="B128">
        <f>HYPERLINK("https://www.suredividend.com/sure-analysis-BRO/","Brown &amp; Brown, Inc.")</f>
        <v>0</v>
      </c>
      <c r="C128">
        <v>64.01000000000001</v>
      </c>
      <c r="D128">
        <v>44</v>
      </c>
      <c r="E128">
        <v>1.454772727272727</v>
      </c>
      <c r="F128">
        <v>0.005780346820809248</v>
      </c>
      <c r="G128">
        <v>-0.07222862291460819</v>
      </c>
      <c r="H128">
        <v>0.07000000000000001</v>
      </c>
      <c r="I128">
        <v>0.0003678495214070043</v>
      </c>
      <c r="J128" t="s">
        <v>772</v>
      </c>
      <c r="K128" t="s">
        <v>378</v>
      </c>
      <c r="L128">
        <v>2</v>
      </c>
      <c r="M128">
        <v>0.37</v>
      </c>
      <c r="N128">
        <v>0.185</v>
      </c>
      <c r="O128">
        <v>27</v>
      </c>
      <c r="P128">
        <v>0.09027141631525293</v>
      </c>
      <c r="Q128">
        <v>0.365895094499893</v>
      </c>
      <c r="R128" t="s">
        <v>776</v>
      </c>
      <c r="S128" t="s">
        <v>786</v>
      </c>
      <c r="T128">
        <v>18112.96938</v>
      </c>
      <c r="U128" s="2">
        <v>44404</v>
      </c>
      <c r="V128" t="s">
        <v>795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307.29</v>
      </c>
      <c r="D129">
        <v>204</v>
      </c>
      <c r="E129">
        <v>1.506323529411765</v>
      </c>
      <c r="F129">
        <v>0.008070552247063035</v>
      </c>
      <c r="G129">
        <v>-0.07866759158516334</v>
      </c>
      <c r="H129">
        <v>0.07000000000000001</v>
      </c>
      <c r="I129">
        <v>-0.003262619952106527</v>
      </c>
      <c r="J129" t="s">
        <v>772</v>
      </c>
      <c r="K129" t="s">
        <v>378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0.397621181764261</v>
      </c>
      <c r="R129" t="s">
        <v>776</v>
      </c>
      <c r="S129" t="s">
        <v>784</v>
      </c>
      <c r="T129">
        <v>2286105.066554</v>
      </c>
      <c r="U129" s="2">
        <v>44408</v>
      </c>
      <c r="V129" t="s">
        <v>797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176.82</v>
      </c>
      <c r="D130">
        <v>113</v>
      </c>
      <c r="E130">
        <v>1.564778761061947</v>
      </c>
      <c r="F130">
        <v>0.009727406401990725</v>
      </c>
      <c r="G130">
        <v>-0.08565643772510723</v>
      </c>
      <c r="H130">
        <v>0.07000000000000001</v>
      </c>
      <c r="I130">
        <v>-0.008544693895855882</v>
      </c>
      <c r="J130" t="s">
        <v>772</v>
      </c>
      <c r="K130" t="s">
        <v>486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0.695353279762702</v>
      </c>
      <c r="R130" t="s">
        <v>776</v>
      </c>
      <c r="S130" t="s">
        <v>786</v>
      </c>
      <c r="T130">
        <v>139669.279092</v>
      </c>
      <c r="U130" s="2">
        <v>44400</v>
      </c>
      <c r="V130" t="s">
        <v>794</v>
      </c>
    </row>
    <row r="131" spans="1:22">
      <c r="A131" s="1" t="s">
        <v>151</v>
      </c>
      <c r="B131">
        <f>HYPERLINK("https://www.suredividend.com/sure-analysis-MGEE/","MGE Energy, Inc.")</f>
        <v>0</v>
      </c>
      <c r="C131">
        <v>74.56999999999999</v>
      </c>
      <c r="D131">
        <v>52.2</v>
      </c>
      <c r="E131">
        <v>1.428544061302682</v>
      </c>
      <c r="F131">
        <v>0.02078583880917259</v>
      </c>
      <c r="G131">
        <v>-0.06884651723995883</v>
      </c>
      <c r="H131">
        <v>0.038</v>
      </c>
      <c r="I131">
        <v>-0.008849814354346619</v>
      </c>
      <c r="J131" t="s">
        <v>772</v>
      </c>
      <c r="K131" t="s">
        <v>773</v>
      </c>
      <c r="L131">
        <v>2.9</v>
      </c>
      <c r="M131">
        <v>1.55</v>
      </c>
      <c r="N131">
        <v>0.5344827586206897</v>
      </c>
      <c r="O131">
        <v>46</v>
      </c>
      <c r="P131">
        <v>0.02805810383354745</v>
      </c>
      <c r="Q131">
        <v>0.136505972277765</v>
      </c>
      <c r="R131" t="s">
        <v>776</v>
      </c>
      <c r="S131" t="s">
        <v>787</v>
      </c>
      <c r="T131">
        <v>2723.463395</v>
      </c>
      <c r="U131" s="2">
        <v>44420</v>
      </c>
      <c r="V131" t="s">
        <v>800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152.05</v>
      </c>
      <c r="D132">
        <v>100</v>
      </c>
      <c r="E132">
        <v>1.5205</v>
      </c>
      <c r="F132">
        <v>0.01157513975665899</v>
      </c>
      <c r="G132">
        <v>-0.08039205419308892</v>
      </c>
      <c r="H132">
        <v>0.06</v>
      </c>
      <c r="I132">
        <v>-0.009882330892545088</v>
      </c>
      <c r="J132" t="s">
        <v>772</v>
      </c>
      <c r="K132" t="s">
        <v>378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0.042441725406439</v>
      </c>
      <c r="R132" t="s">
        <v>776</v>
      </c>
      <c r="S132" t="s">
        <v>783</v>
      </c>
      <c r="T132">
        <v>5891.377379</v>
      </c>
      <c r="U132" s="2">
        <v>44409</v>
      </c>
      <c r="V132" t="s">
        <v>797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218.69</v>
      </c>
      <c r="D133">
        <v>106</v>
      </c>
      <c r="E133">
        <v>2.06311320754717</v>
      </c>
      <c r="F133">
        <v>0.008779550962549728</v>
      </c>
      <c r="G133">
        <v>-0.1348420794100773</v>
      </c>
      <c r="H133">
        <v>0.13</v>
      </c>
      <c r="I133">
        <v>-0.01002477226653642</v>
      </c>
      <c r="J133" t="s">
        <v>772</v>
      </c>
      <c r="K133" t="s">
        <v>378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0.086156084688706</v>
      </c>
      <c r="R133" t="s">
        <v>776</v>
      </c>
      <c r="S133" t="s">
        <v>782</v>
      </c>
      <c r="T133">
        <v>62999.267377</v>
      </c>
      <c r="U133" s="2">
        <v>44424</v>
      </c>
      <c r="V133" t="s">
        <v>796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127.82</v>
      </c>
      <c r="D134">
        <v>79</v>
      </c>
      <c r="E134">
        <v>1.617974683544304</v>
      </c>
      <c r="F134">
        <v>0.01173525269910812</v>
      </c>
      <c r="G134">
        <v>-0.09174947909140718</v>
      </c>
      <c r="H134">
        <v>0.07000000000000001</v>
      </c>
      <c r="I134">
        <v>-0.01338434559143886</v>
      </c>
      <c r="J134" t="s">
        <v>772</v>
      </c>
      <c r="K134" t="s">
        <v>378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0.114323779627741</v>
      </c>
      <c r="R134" t="s">
        <v>776</v>
      </c>
      <c r="S134" t="s">
        <v>788</v>
      </c>
      <c r="T134">
        <v>8457.326961999999</v>
      </c>
      <c r="U134" s="2">
        <v>44411</v>
      </c>
      <c r="V134" t="s">
        <v>798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73.20999999999999</v>
      </c>
      <c r="D135">
        <v>50</v>
      </c>
      <c r="E135">
        <v>1.4642</v>
      </c>
      <c r="F135">
        <v>0.001092746892501025</v>
      </c>
      <c r="G135">
        <v>-0.07342640554298974</v>
      </c>
      <c r="H135">
        <v>0.06</v>
      </c>
      <c r="I135">
        <v>-0.01666049492930533</v>
      </c>
      <c r="J135" t="s">
        <v>772</v>
      </c>
      <c r="K135" t="s">
        <v>486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1.04166149004017</v>
      </c>
      <c r="R135" t="s">
        <v>776</v>
      </c>
      <c r="S135" t="s">
        <v>783</v>
      </c>
      <c r="T135">
        <v>16575.002364</v>
      </c>
      <c r="U135" s="2">
        <v>44409</v>
      </c>
      <c r="V135" t="s">
        <v>799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244.48</v>
      </c>
      <c r="D136">
        <v>165</v>
      </c>
      <c r="E136">
        <v>1.48169696969697</v>
      </c>
      <c r="F136">
        <v>0.008344240837696335</v>
      </c>
      <c r="G136">
        <v>-0.07562514873048554</v>
      </c>
      <c r="H136">
        <v>0.05</v>
      </c>
      <c r="I136">
        <v>-0.01776790184042543</v>
      </c>
      <c r="J136" t="s">
        <v>772</v>
      </c>
      <c r="K136" t="s">
        <v>378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0.18309039338529</v>
      </c>
      <c r="R136" t="s">
        <v>776</v>
      </c>
      <c r="S136" t="s">
        <v>783</v>
      </c>
      <c r="T136">
        <v>14221.79341</v>
      </c>
      <c r="U136" s="2">
        <v>44439</v>
      </c>
      <c r="V136" t="s">
        <v>797</v>
      </c>
    </row>
    <row r="137" spans="1:22">
      <c r="A137" s="1" t="s">
        <v>157</v>
      </c>
      <c r="B137">
        <f>HYPERLINK("https://www.suredividend.com/sure-analysis-BF.B/","Brown-Forman Corp.")</f>
        <v>0</v>
      </c>
      <c r="C137">
        <v>69.36</v>
      </c>
      <c r="D137">
        <v>42</v>
      </c>
      <c r="E137">
        <v>1.651428571428571</v>
      </c>
      <c r="F137">
        <v>0.01038062283737024</v>
      </c>
      <c r="G137">
        <v>-0.09545944917203975</v>
      </c>
      <c r="H137">
        <v>0.07000000000000001</v>
      </c>
      <c r="I137">
        <v>-0.01843053034602227</v>
      </c>
      <c r="J137" t="s">
        <v>772</v>
      </c>
      <c r="K137" t="s">
        <v>378</v>
      </c>
      <c r="L137">
        <v>1.75</v>
      </c>
      <c r="M137">
        <v>0.72</v>
      </c>
      <c r="N137">
        <v>0.4114285714285714</v>
      </c>
      <c r="O137">
        <v>31</v>
      </c>
      <c r="P137">
        <v>0.05922384104881218</v>
      </c>
      <c r="Q137">
        <v>-0.07904182064711601</v>
      </c>
      <c r="R137" t="s">
        <v>776</v>
      </c>
      <c r="S137" t="s">
        <v>785</v>
      </c>
      <c r="T137">
        <v>32535.579018</v>
      </c>
      <c r="U137" s="2">
        <v>44453</v>
      </c>
      <c r="V137" t="s">
        <v>794</v>
      </c>
    </row>
    <row r="138" spans="1:22">
      <c r="A138" s="1" t="s">
        <v>158</v>
      </c>
      <c r="B138">
        <f>HYPERLINK("https://www.suredividend.com/sure-analysis-CTAS/","Cintas Corporation")</f>
        <v>0</v>
      </c>
      <c r="C138">
        <v>421.07</v>
      </c>
      <c r="D138">
        <v>265</v>
      </c>
      <c r="E138">
        <v>1.588943396226415</v>
      </c>
      <c r="F138">
        <v>0.009024627734105967</v>
      </c>
      <c r="G138">
        <v>-0.08845457706250048</v>
      </c>
      <c r="H138">
        <v>0.06</v>
      </c>
      <c r="I138">
        <v>-0.02023940167898131</v>
      </c>
      <c r="J138" t="s">
        <v>772</v>
      </c>
      <c r="K138" t="s">
        <v>378</v>
      </c>
      <c r="L138">
        <v>10.6</v>
      </c>
      <c r="M138">
        <v>3.8</v>
      </c>
      <c r="N138">
        <v>0.3584905660377358</v>
      </c>
      <c r="O138">
        <v>38</v>
      </c>
      <c r="P138">
        <v>0.1000022287717175</v>
      </c>
      <c r="Q138">
        <v>0.204731357040698</v>
      </c>
      <c r="R138" t="s">
        <v>776</v>
      </c>
      <c r="S138" t="s">
        <v>783</v>
      </c>
      <c r="T138">
        <v>43020.673813</v>
      </c>
      <c r="U138" s="2">
        <v>44395</v>
      </c>
      <c r="V138" t="s">
        <v>795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275.07</v>
      </c>
      <c r="D139">
        <v>168</v>
      </c>
      <c r="E139">
        <v>1.637321428571429</v>
      </c>
      <c r="F139">
        <v>0.004580652197622424</v>
      </c>
      <c r="G139">
        <v>-0.09390609124693305</v>
      </c>
      <c r="H139">
        <v>0.07000000000000001</v>
      </c>
      <c r="I139">
        <v>-0.02400012129895834</v>
      </c>
      <c r="J139" t="s">
        <v>772</v>
      </c>
      <c r="K139" t="s">
        <v>486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0.491926002690969</v>
      </c>
      <c r="R139" t="s">
        <v>776</v>
      </c>
      <c r="S139" t="s">
        <v>786</v>
      </c>
      <c r="T139">
        <v>11804.762444</v>
      </c>
      <c r="U139" s="2">
        <v>44410</v>
      </c>
      <c r="V139" t="s">
        <v>795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59.84</v>
      </c>
      <c r="D140">
        <v>36</v>
      </c>
      <c r="E140">
        <v>1.662222222222222</v>
      </c>
      <c r="F140">
        <v>0.01537433155080214</v>
      </c>
      <c r="G140">
        <v>-0.09663724034391363</v>
      </c>
      <c r="H140">
        <v>0.05</v>
      </c>
      <c r="I140">
        <v>-0.02979797120134753</v>
      </c>
      <c r="J140" t="s">
        <v>772</v>
      </c>
      <c r="K140" t="s">
        <v>773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0.34013100379129</v>
      </c>
      <c r="R140" t="s">
        <v>776</v>
      </c>
      <c r="S140" t="s">
        <v>787</v>
      </c>
      <c r="T140">
        <v>3101.44335</v>
      </c>
      <c r="U140" s="2">
        <v>44408</v>
      </c>
      <c r="V140" t="s">
        <v>794</v>
      </c>
    </row>
    <row r="141" spans="1:22">
      <c r="A141" s="1" t="s">
        <v>161</v>
      </c>
      <c r="B141">
        <f>HYPERLINK("https://www.suredividend.com/sure-analysis-ZTS/","Zoetis Inc")</f>
        <v>0</v>
      </c>
      <c r="C141">
        <v>202.73</v>
      </c>
      <c r="D141">
        <v>92</v>
      </c>
      <c r="E141">
        <v>2.203586956521739</v>
      </c>
      <c r="F141">
        <v>0.004932669067232279</v>
      </c>
      <c r="G141">
        <v>-0.1461649839432728</v>
      </c>
      <c r="H141">
        <v>0.12</v>
      </c>
      <c r="I141">
        <v>-0.03473227964426762</v>
      </c>
      <c r="J141" t="s">
        <v>772</v>
      </c>
      <c r="K141" t="s">
        <v>486</v>
      </c>
      <c r="L141">
        <v>4.4</v>
      </c>
      <c r="M141">
        <v>1</v>
      </c>
      <c r="N141">
        <v>0.2272727272727273</v>
      </c>
      <c r="O141">
        <v>8</v>
      </c>
      <c r="P141">
        <v>0.1498447628234807</v>
      </c>
      <c r="Q141">
        <v>0.241401748963298</v>
      </c>
      <c r="R141" t="s">
        <v>776</v>
      </c>
      <c r="S141" t="s">
        <v>781</v>
      </c>
      <c r="T141">
        <v>95840.994708</v>
      </c>
      <c r="U141" s="2">
        <v>44417</v>
      </c>
      <c r="V141" t="s">
        <v>802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89</v>
      </c>
      <c r="D142">
        <v>61.3</v>
      </c>
      <c r="E142">
        <v>1.451876019575856</v>
      </c>
      <c r="F142">
        <v>0.01640449438202247</v>
      </c>
      <c r="G142">
        <v>-0.0718587097475899</v>
      </c>
      <c r="H142">
        <v>0.014</v>
      </c>
      <c r="I142">
        <v>-0.03773652544506434</v>
      </c>
      <c r="J142" t="s">
        <v>772</v>
      </c>
      <c r="K142" t="s">
        <v>773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0.176837449163556</v>
      </c>
      <c r="R142" t="s">
        <v>776</v>
      </c>
      <c r="S142" t="s">
        <v>787</v>
      </c>
      <c r="T142">
        <v>3317.211671</v>
      </c>
      <c r="U142" s="2">
        <v>44421</v>
      </c>
      <c r="V142" t="s">
        <v>800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102.25</v>
      </c>
      <c r="D143">
        <v>67</v>
      </c>
      <c r="E143">
        <v>1.526119402985075</v>
      </c>
      <c r="F143">
        <v>0.009779951100244499</v>
      </c>
      <c r="G143">
        <v>-0.08107028103553626</v>
      </c>
      <c r="H143">
        <v>0.03</v>
      </c>
      <c r="I143">
        <v>-0.03974247317166679</v>
      </c>
      <c r="J143" t="s">
        <v>772</v>
      </c>
      <c r="K143" t="s">
        <v>378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0.231123331538392</v>
      </c>
      <c r="R143" t="s">
        <v>776</v>
      </c>
      <c r="S143" t="s">
        <v>786</v>
      </c>
      <c r="T143">
        <v>4671.323283</v>
      </c>
      <c r="U143" s="2">
        <v>44410</v>
      </c>
      <c r="V143" t="s">
        <v>794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102.53</v>
      </c>
      <c r="D144">
        <v>60</v>
      </c>
      <c r="E144">
        <v>1.708833333333333</v>
      </c>
      <c r="F144">
        <v>0.01580025358431679</v>
      </c>
      <c r="G144">
        <v>-0.1016200338577185</v>
      </c>
      <c r="H144">
        <v>0.037</v>
      </c>
      <c r="I144">
        <v>-0.04702741591926352</v>
      </c>
      <c r="J144" t="s">
        <v>772</v>
      </c>
      <c r="K144" t="s">
        <v>773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1.107399086890354</v>
      </c>
      <c r="R144" t="s">
        <v>776</v>
      </c>
      <c r="S144" t="s">
        <v>782</v>
      </c>
      <c r="T144">
        <v>29892.229671</v>
      </c>
      <c r="U144" s="2">
        <v>44415</v>
      </c>
      <c r="V144" t="s">
        <v>800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408.72</v>
      </c>
      <c r="D145">
        <v>195</v>
      </c>
      <c r="E145">
        <v>2.096</v>
      </c>
      <c r="F145">
        <v>0.001663730671364259</v>
      </c>
      <c r="G145">
        <v>-0.1375741918318999</v>
      </c>
      <c r="H145">
        <v>0.09</v>
      </c>
      <c r="I145">
        <v>-0.05727000838506313</v>
      </c>
      <c r="J145" t="s">
        <v>772</v>
      </c>
      <c r="K145" t="s">
        <v>378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0.388228742072236</v>
      </c>
      <c r="R145" t="s">
        <v>776</v>
      </c>
      <c r="S145" t="s">
        <v>781</v>
      </c>
      <c r="T145">
        <v>29947.474208</v>
      </c>
      <c r="U145" s="2">
        <v>44406</v>
      </c>
      <c r="V145" t="s">
        <v>794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236.91</v>
      </c>
      <c r="D146">
        <v>97</v>
      </c>
      <c r="E146">
        <v>2.442371134020619</v>
      </c>
      <c r="F146">
        <v>0.006584779030011397</v>
      </c>
      <c r="G146">
        <v>-0.1635544628921592</v>
      </c>
      <c r="H146">
        <v>0.1</v>
      </c>
      <c r="I146">
        <v>-0.06822409596640489</v>
      </c>
      <c r="J146" t="s">
        <v>772</v>
      </c>
      <c r="K146" t="s">
        <v>486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1.471407104282641</v>
      </c>
      <c r="R146" t="s">
        <v>776</v>
      </c>
      <c r="S146" t="s">
        <v>782</v>
      </c>
      <c r="T146">
        <v>26754.621074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102.24</v>
      </c>
      <c r="D147">
        <v>51</v>
      </c>
      <c r="E147">
        <v>2.004705882352941</v>
      </c>
      <c r="F147">
        <v>0.00782472613458529</v>
      </c>
      <c r="G147">
        <v>-0.1298585301944176</v>
      </c>
      <c r="H147">
        <v>0.05</v>
      </c>
      <c r="I147">
        <v>-0.07201410897139027</v>
      </c>
      <c r="J147" t="s">
        <v>772</v>
      </c>
      <c r="K147" t="s">
        <v>486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0.299373693104606</v>
      </c>
      <c r="R147" t="s">
        <v>776</v>
      </c>
      <c r="S147" t="s">
        <v>783</v>
      </c>
      <c r="T147">
        <v>3024.133445</v>
      </c>
      <c r="U147" s="2">
        <v>44485</v>
      </c>
      <c r="V147" t="s">
        <v>792</v>
      </c>
    </row>
    <row r="148" spans="1:22">
      <c r="A148" s="1" t="s">
        <v>168</v>
      </c>
      <c r="B148">
        <f>HYPERLINK("https://www.suredividend.com/sure-analysis-BAM/","Brookfield Asset Management Inc.")</f>
        <v>0</v>
      </c>
      <c r="C148">
        <v>58.56</v>
      </c>
      <c r="D148">
        <v>26</v>
      </c>
      <c r="E148">
        <v>2.252307692307693</v>
      </c>
      <c r="F148">
        <v>0.008879781420765027</v>
      </c>
      <c r="G148">
        <v>-0.1498913093556418</v>
      </c>
      <c r="H148">
        <v>0.07000000000000001</v>
      </c>
      <c r="I148">
        <v>-0.07533192665533428</v>
      </c>
      <c r="J148" t="s">
        <v>772</v>
      </c>
      <c r="K148" t="s">
        <v>486</v>
      </c>
      <c r="L148">
        <v>2.15</v>
      </c>
      <c r="M148">
        <v>0.52</v>
      </c>
      <c r="N148">
        <v>0.2418604651162791</v>
      </c>
      <c r="O148">
        <v>10</v>
      </c>
      <c r="P148">
        <v>0.06125302037503699</v>
      </c>
      <c r="Q148">
        <v>0.7667514996179511</v>
      </c>
      <c r="R148" t="s">
        <v>776</v>
      </c>
      <c r="S148" t="s">
        <v>786</v>
      </c>
      <c r="T148">
        <v>96322.08903800001</v>
      </c>
      <c r="U148" s="2">
        <v>44436</v>
      </c>
      <c r="V148" t="s">
        <v>795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106.07</v>
      </c>
      <c r="D149">
        <v>50.8</v>
      </c>
      <c r="E149">
        <v>2.087992125984252</v>
      </c>
      <c r="F149">
        <v>0.01027623267653436</v>
      </c>
      <c r="G149">
        <v>-0.1369136886833959</v>
      </c>
      <c r="H149">
        <v>0.035</v>
      </c>
      <c r="I149">
        <v>-0.09022242869301766</v>
      </c>
      <c r="J149" t="s">
        <v>772</v>
      </c>
      <c r="K149" t="s">
        <v>378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0.5970912396318601</v>
      </c>
      <c r="R149" t="s">
        <v>776</v>
      </c>
      <c r="S149" t="s">
        <v>787</v>
      </c>
      <c r="T149">
        <v>1843.854941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81.43000000000001</v>
      </c>
      <c r="D150">
        <v>74</v>
      </c>
      <c r="E150">
        <v>1.100405405405406</v>
      </c>
      <c r="F150">
        <v>0.02652585042367678</v>
      </c>
      <c r="G150">
        <v>-0.01895380660292945</v>
      </c>
      <c r="H150">
        <v>-0.32</v>
      </c>
      <c r="I150">
        <v>-0.2264150954740927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0.491053858882337</v>
      </c>
      <c r="R150" t="s">
        <v>776</v>
      </c>
      <c r="S150" t="s">
        <v>786</v>
      </c>
      <c r="T150">
        <v>1207.096039</v>
      </c>
      <c r="U150" s="2">
        <v>44414</v>
      </c>
      <c r="V150" t="s">
        <v>795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204.57</v>
      </c>
      <c r="D151">
        <v>263</v>
      </c>
      <c r="E151">
        <v>0.7778326996197719</v>
      </c>
      <c r="F151">
        <v>0.0195532091704551</v>
      </c>
      <c r="G151">
        <v>0.05153264667418544</v>
      </c>
      <c r="H151">
        <v>0.15</v>
      </c>
      <c r="I151">
        <v>0.2182713010879236</v>
      </c>
      <c r="J151" t="s">
        <v>773</v>
      </c>
      <c r="K151" t="s">
        <v>378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0.168576794861186</v>
      </c>
      <c r="R151" t="s">
        <v>776</v>
      </c>
      <c r="S151" t="s">
        <v>786</v>
      </c>
      <c r="T151">
        <v>70126.773466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14.76</v>
      </c>
      <c r="D152">
        <v>19.2</v>
      </c>
      <c r="E152">
        <v>0.76875</v>
      </c>
      <c r="F152">
        <v>0.04471544715447155</v>
      </c>
      <c r="G152">
        <v>0.05400573572878575</v>
      </c>
      <c r="H152">
        <v>0.07000000000000001</v>
      </c>
      <c r="I152">
        <v>0.1600073909111781</v>
      </c>
      <c r="J152" t="s">
        <v>773</v>
      </c>
      <c r="K152" t="s">
        <v>772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-0.310710987996306</v>
      </c>
      <c r="R152" t="s">
        <v>776</v>
      </c>
      <c r="S152" t="s">
        <v>786</v>
      </c>
      <c r="T152">
        <v>55596.161648</v>
      </c>
      <c r="U152" s="2">
        <v>44439</v>
      </c>
      <c r="V152" t="s">
        <v>791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25.33</v>
      </c>
      <c r="D153">
        <v>36</v>
      </c>
      <c r="E153">
        <v>0.7036111111111111</v>
      </c>
      <c r="F153">
        <v>0.08211606790367154</v>
      </c>
      <c r="G153">
        <v>0.07283630620805659</v>
      </c>
      <c r="H153">
        <v>0.03</v>
      </c>
      <c r="I153">
        <v>0.1579206228935461</v>
      </c>
      <c r="J153" t="s">
        <v>773</v>
      </c>
      <c r="K153" t="s">
        <v>772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-0.007744994324455001</v>
      </c>
      <c r="R153" t="s">
        <v>776</v>
      </c>
      <c r="S153" t="s">
        <v>780</v>
      </c>
      <c r="T153">
        <v>183498</v>
      </c>
      <c r="U153" s="2">
        <v>44399</v>
      </c>
      <c r="V153" t="s">
        <v>797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365</v>
      </c>
      <c r="D154">
        <v>430</v>
      </c>
      <c r="E154">
        <v>0.8488372093023255</v>
      </c>
      <c r="F154">
        <v>0.03068493150684931</v>
      </c>
      <c r="G154">
        <v>0.03332067321552157</v>
      </c>
      <c r="H154">
        <v>0.08</v>
      </c>
      <c r="I154">
        <v>0.1400021878533226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-0.026626796755032</v>
      </c>
      <c r="R154" t="s">
        <v>776</v>
      </c>
      <c r="S154" t="s">
        <v>783</v>
      </c>
      <c r="T154">
        <v>101246.207439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HYPERLINK("https://www.suredividend.com/sure-analysis-AMGN/","AMGEN Inc.")</f>
        <v>0</v>
      </c>
      <c r="C155">
        <v>203.13</v>
      </c>
      <c r="D155">
        <v>221</v>
      </c>
      <c r="E155">
        <v>0.9191402714932126</v>
      </c>
      <c r="F155">
        <v>0.03465760842810024</v>
      </c>
      <c r="G155">
        <v>0.01700629484674421</v>
      </c>
      <c r="H155">
        <v>0.09</v>
      </c>
      <c r="I155">
        <v>0.1369792171052877</v>
      </c>
      <c r="J155" t="s">
        <v>773</v>
      </c>
      <c r="K155" t="s">
        <v>773</v>
      </c>
      <c r="L155">
        <v>16.5</v>
      </c>
      <c r="M155">
        <v>7.04</v>
      </c>
      <c r="N155">
        <v>0.4266666666666667</v>
      </c>
      <c r="O155">
        <v>10</v>
      </c>
      <c r="P155">
        <v>0.08996150398082237</v>
      </c>
      <c r="Q155">
        <v>-0.092443359583949</v>
      </c>
      <c r="R155" t="s">
        <v>776</v>
      </c>
      <c r="S155" t="s">
        <v>781</v>
      </c>
      <c r="T155">
        <v>118022.433048</v>
      </c>
      <c r="U155" s="2">
        <v>44415</v>
      </c>
      <c r="V155" t="s">
        <v>792</v>
      </c>
    </row>
    <row r="156" spans="1:22">
      <c r="A156" s="1" t="s">
        <v>176</v>
      </c>
      <c r="B156">
        <f>HYPERLINK("https://www.suredividend.com/sure-analysis-VZ/","Verizon Communications Inc")</f>
        <v>0</v>
      </c>
      <c r="C156">
        <v>51.91</v>
      </c>
      <c r="D156">
        <v>69</v>
      </c>
      <c r="E156">
        <v>0.7523188405797101</v>
      </c>
      <c r="F156">
        <v>0.04931612406087459</v>
      </c>
      <c r="G156">
        <v>0.05857007434074646</v>
      </c>
      <c r="H156">
        <v>0.04</v>
      </c>
      <c r="I156">
        <v>0.1344717002737585</v>
      </c>
      <c r="J156" t="s">
        <v>773</v>
      </c>
      <c r="K156" t="s">
        <v>772</v>
      </c>
      <c r="L156">
        <v>5.3</v>
      </c>
      <c r="M156">
        <v>2.56</v>
      </c>
      <c r="N156">
        <v>0.4830188679245283</v>
      </c>
      <c r="O156">
        <v>15</v>
      </c>
      <c r="P156">
        <v>0.02025632080394812</v>
      </c>
      <c r="Q156">
        <v>-0.049162673768386</v>
      </c>
      <c r="R156" t="s">
        <v>776</v>
      </c>
      <c r="S156" t="s">
        <v>780</v>
      </c>
      <c r="T156">
        <v>216403.863686</v>
      </c>
      <c r="U156" s="2">
        <v>44398</v>
      </c>
      <c r="V156" t="s">
        <v>792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338.44</v>
      </c>
      <c r="D157">
        <v>350</v>
      </c>
      <c r="E157">
        <v>0.9669714285714286</v>
      </c>
      <c r="F157">
        <v>0.004136626876255762</v>
      </c>
      <c r="G157">
        <v>0.006739877517912607</v>
      </c>
      <c r="H157">
        <v>0.12</v>
      </c>
      <c r="I157">
        <v>0.1305870790003256</v>
      </c>
      <c r="J157" t="s">
        <v>773</v>
      </c>
      <c r="K157" t="s">
        <v>774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0.231916804973113</v>
      </c>
      <c r="R157" t="s">
        <v>776</v>
      </c>
      <c r="S157" t="s">
        <v>788</v>
      </c>
      <c r="T157">
        <v>10200.829105</v>
      </c>
      <c r="U157" s="2">
        <v>44398</v>
      </c>
      <c r="V157" t="s">
        <v>793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53.22</v>
      </c>
      <c r="D158">
        <v>58</v>
      </c>
      <c r="E158">
        <v>0.9175862068965517</v>
      </c>
      <c r="F158">
        <v>0.01878992859827133</v>
      </c>
      <c r="G158">
        <v>0.01735055107789063</v>
      </c>
      <c r="H158">
        <v>0.09</v>
      </c>
      <c r="I158">
        <v>0.1246785339343239</v>
      </c>
      <c r="J158" t="s">
        <v>773</v>
      </c>
      <c r="K158" t="s">
        <v>378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0.201862642362432</v>
      </c>
      <c r="R158" t="s">
        <v>776</v>
      </c>
      <c r="S158" t="s">
        <v>780</v>
      </c>
      <c r="T158">
        <v>247427.419973</v>
      </c>
      <c r="U158" s="2">
        <v>44417</v>
      </c>
      <c r="V158" t="s">
        <v>801</v>
      </c>
    </row>
    <row r="159" spans="1:22">
      <c r="A159" s="1" t="s">
        <v>179</v>
      </c>
      <c r="B159">
        <f>HYPERLINK("https://www.suredividend.com/sure-analysis-GILD/","Gilead Sciences, Inc.")</f>
        <v>0</v>
      </c>
      <c r="C159">
        <v>65.90000000000001</v>
      </c>
      <c r="D159">
        <v>78</v>
      </c>
      <c r="E159">
        <v>0.844871794871795</v>
      </c>
      <c r="F159">
        <v>0.04309559939301972</v>
      </c>
      <c r="G159">
        <v>0.03428883751670697</v>
      </c>
      <c r="H159">
        <v>0.05</v>
      </c>
      <c r="I159">
        <v>0.1216884425792943</v>
      </c>
      <c r="J159" t="s">
        <v>773</v>
      </c>
      <c r="K159" t="s">
        <v>772</v>
      </c>
      <c r="L159">
        <v>7.1</v>
      </c>
      <c r="M159">
        <v>2.84</v>
      </c>
      <c r="N159">
        <v>0.4</v>
      </c>
      <c r="O159">
        <v>6</v>
      </c>
      <c r="P159">
        <v>0.06982550252761355</v>
      </c>
      <c r="Q159">
        <v>0.138711301410803</v>
      </c>
      <c r="R159" t="s">
        <v>776</v>
      </c>
      <c r="S159" t="s">
        <v>781</v>
      </c>
      <c r="T159">
        <v>84795.132427</v>
      </c>
      <c r="U159" s="2">
        <v>44417</v>
      </c>
      <c r="V159" t="s">
        <v>794</v>
      </c>
    </row>
    <row r="160" spans="1:22">
      <c r="A160" s="1" t="s">
        <v>180</v>
      </c>
      <c r="B160">
        <f>HYPERLINK("https://www.suredividend.com/sure-analysis-FNV/","Franco-Nevada Corporation")</f>
        <v>0</v>
      </c>
      <c r="C160">
        <v>140.68</v>
      </c>
      <c r="D160">
        <v>174</v>
      </c>
      <c r="E160">
        <v>0.8085057471264369</v>
      </c>
      <c r="F160">
        <v>0.008245663918112026</v>
      </c>
      <c r="G160">
        <v>0.04343014083438379</v>
      </c>
      <c r="H160">
        <v>0.065</v>
      </c>
      <c r="I160">
        <v>0.1180111361750806</v>
      </c>
      <c r="J160" t="s">
        <v>773</v>
      </c>
      <c r="K160" t="s">
        <v>486</v>
      </c>
      <c r="L160">
        <v>3.55</v>
      </c>
      <c r="M160">
        <v>1.16</v>
      </c>
      <c r="N160">
        <v>0.3267605633802817</v>
      </c>
      <c r="O160">
        <v>13</v>
      </c>
      <c r="P160">
        <v>0.07943920234636304</v>
      </c>
      <c r="Q160">
        <v>0.015155930374469</v>
      </c>
      <c r="R160" t="s">
        <v>776</v>
      </c>
      <c r="S160" t="s">
        <v>782</v>
      </c>
      <c r="T160">
        <v>26896.208337</v>
      </c>
      <c r="U160" s="2">
        <v>44420</v>
      </c>
      <c r="V160" t="s">
        <v>793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127.42</v>
      </c>
      <c r="D161">
        <v>151</v>
      </c>
      <c r="E161">
        <v>0.843841059602649</v>
      </c>
      <c r="F161">
        <v>0.0345314707267305</v>
      </c>
      <c r="G161">
        <v>0.03454138685056174</v>
      </c>
      <c r="H161">
        <v>0.05</v>
      </c>
      <c r="I161">
        <v>0.1136455776335579</v>
      </c>
      <c r="J161" t="s">
        <v>773</v>
      </c>
      <c r="K161" t="s">
        <v>773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0.027816931565049</v>
      </c>
      <c r="R161" t="s">
        <v>776</v>
      </c>
      <c r="S161" t="s">
        <v>787</v>
      </c>
      <c r="T161">
        <v>41004.950984</v>
      </c>
      <c r="U161" s="2">
        <v>44434</v>
      </c>
      <c r="V161" t="s">
        <v>796</v>
      </c>
    </row>
    <row r="162" spans="1:22">
      <c r="A162" s="1" t="s">
        <v>182</v>
      </c>
      <c r="B162">
        <f>HYPERLINK("https://www.suredividend.com/sure-analysis-TDS/","Telephone And Data Systems, Inc.")</f>
        <v>0</v>
      </c>
      <c r="C162">
        <v>19</v>
      </c>
      <c r="D162">
        <v>26</v>
      </c>
      <c r="E162">
        <v>0.7307692307692307</v>
      </c>
      <c r="F162">
        <v>0.03684210526315789</v>
      </c>
      <c r="G162">
        <v>0.06474093044470108</v>
      </c>
      <c r="H162">
        <v>0.02</v>
      </c>
      <c r="I162">
        <v>0.1135385110642342</v>
      </c>
      <c r="J162" t="s">
        <v>773</v>
      </c>
      <c r="K162" t="s">
        <v>772</v>
      </c>
      <c r="L162">
        <v>1.1</v>
      </c>
      <c r="M162">
        <v>0.7</v>
      </c>
      <c r="N162">
        <v>0.6363636363636362</v>
      </c>
      <c r="O162">
        <v>45</v>
      </c>
      <c r="P162">
        <v>0.02962100943384161</v>
      </c>
      <c r="Q162">
        <v>0.110818907361247</v>
      </c>
      <c r="R162" t="s">
        <v>776</v>
      </c>
      <c r="S162" t="s">
        <v>780</v>
      </c>
      <c r="T162">
        <v>2087.594174</v>
      </c>
      <c r="U162" s="2">
        <v>44419</v>
      </c>
      <c r="V162" t="s">
        <v>793</v>
      </c>
    </row>
    <row r="163" spans="1:22">
      <c r="A163" s="1" t="s">
        <v>183</v>
      </c>
      <c r="B163">
        <f>HYPERLINK("https://www.suredividend.com/sure-analysis-SR/","Spire Inc.")</f>
        <v>0</v>
      </c>
      <c r="C163">
        <v>63.09</v>
      </c>
      <c r="D163">
        <v>71</v>
      </c>
      <c r="E163">
        <v>0.8885915492957747</v>
      </c>
      <c r="F163">
        <v>0.04121096845775876</v>
      </c>
      <c r="G163">
        <v>0.02390476537795561</v>
      </c>
      <c r="H163">
        <v>0.055</v>
      </c>
      <c r="I163">
        <v>0.1132665657677483</v>
      </c>
      <c r="J163" t="s">
        <v>773</v>
      </c>
      <c r="K163" t="s">
        <v>772</v>
      </c>
      <c r="L163">
        <v>4.45</v>
      </c>
      <c r="M163">
        <v>2.6</v>
      </c>
      <c r="N163">
        <v>0.5842696629213483</v>
      </c>
      <c r="O163">
        <v>19</v>
      </c>
      <c r="P163">
        <v>0.05010553388446692</v>
      </c>
      <c r="Q163">
        <v>0.172990578872309</v>
      </c>
      <c r="R163" t="s">
        <v>776</v>
      </c>
      <c r="S163" t="s">
        <v>787</v>
      </c>
      <c r="T163">
        <v>3324.322598</v>
      </c>
      <c r="U163" s="2">
        <v>44432</v>
      </c>
      <c r="V163" t="s">
        <v>798</v>
      </c>
    </row>
    <row r="164" spans="1:22">
      <c r="A164" s="1" t="s">
        <v>184</v>
      </c>
      <c r="B164">
        <f>HYPERLINK("https://www.suredividend.com/sure-analysis-FLIC/","First Of Long Island Corp.")</f>
        <v>0</v>
      </c>
      <c r="C164">
        <v>20.52</v>
      </c>
      <c r="D164">
        <v>23</v>
      </c>
      <c r="E164">
        <v>0.8921739130434783</v>
      </c>
      <c r="F164">
        <v>0.03898635477582846</v>
      </c>
      <c r="G164">
        <v>0.02308118047629115</v>
      </c>
      <c r="H164">
        <v>0.055</v>
      </c>
      <c r="I164">
        <v>0.1122033092727146</v>
      </c>
      <c r="J164" t="s">
        <v>773</v>
      </c>
      <c r="K164" t="s">
        <v>772</v>
      </c>
      <c r="L164">
        <v>1.8</v>
      </c>
      <c r="M164">
        <v>0.8</v>
      </c>
      <c r="N164">
        <v>0.4444444444444445</v>
      </c>
      <c r="O164">
        <v>13</v>
      </c>
      <c r="P164">
        <v>0.06576275663547415</v>
      </c>
      <c r="Q164">
        <v>0.335709074945609</v>
      </c>
      <c r="R164" t="s">
        <v>776</v>
      </c>
      <c r="S164" t="s">
        <v>786</v>
      </c>
      <c r="T164">
        <v>490.471968</v>
      </c>
      <c r="U164" s="2">
        <v>44413</v>
      </c>
      <c r="V164" t="s">
        <v>794</v>
      </c>
    </row>
    <row r="165" spans="1:22">
      <c r="A165" s="1" t="s">
        <v>185</v>
      </c>
      <c r="B165">
        <f>HYPERLINK("https://www.suredividend.com/sure-analysis-NVS/","Novartis AG")</f>
        <v>0</v>
      </c>
      <c r="C165">
        <v>82.34</v>
      </c>
      <c r="D165">
        <v>99</v>
      </c>
      <c r="E165">
        <v>0.8317171717171717</v>
      </c>
      <c r="F165">
        <v>0.04104930774836046</v>
      </c>
      <c r="G165">
        <v>0.03754004166986613</v>
      </c>
      <c r="H165">
        <v>0.04</v>
      </c>
      <c r="I165">
        <v>0.1111717619740962</v>
      </c>
      <c r="J165" t="s">
        <v>773</v>
      </c>
      <c r="K165" t="s">
        <v>772</v>
      </c>
      <c r="L165">
        <v>6.19</v>
      </c>
      <c r="M165">
        <v>3.38</v>
      </c>
      <c r="N165">
        <v>0.5460420032310177</v>
      </c>
      <c r="O165">
        <v>25</v>
      </c>
      <c r="P165">
        <v>0.03988430711083502</v>
      </c>
      <c r="Q165">
        <v>0.005617604643725</v>
      </c>
      <c r="R165" t="s">
        <v>776</v>
      </c>
      <c r="S165" t="s">
        <v>781</v>
      </c>
      <c r="T165">
        <v>202860.295264</v>
      </c>
      <c r="U165" s="2">
        <v>44399</v>
      </c>
      <c r="V165" t="s">
        <v>792</v>
      </c>
    </row>
    <row r="166" spans="1:22">
      <c r="A166" s="1" t="s">
        <v>186</v>
      </c>
      <c r="B166">
        <f>HYPERLINK("https://www.suredividend.com/sure-analysis-YUM/","Yum Brands Inc.")</f>
        <v>0</v>
      </c>
      <c r="C166">
        <v>126.45</v>
      </c>
      <c r="D166">
        <v>113</v>
      </c>
      <c r="E166">
        <v>1.119026548672566</v>
      </c>
      <c r="F166">
        <v>0.01581652827204429</v>
      </c>
      <c r="G166">
        <v>-0.02224077540756242</v>
      </c>
      <c r="H166">
        <v>0.12</v>
      </c>
      <c r="I166">
        <v>0.1079393504666559</v>
      </c>
      <c r="J166" t="s">
        <v>773</v>
      </c>
      <c r="K166" t="s">
        <v>486</v>
      </c>
      <c r="L166">
        <v>4.65</v>
      </c>
      <c r="M166">
        <v>2</v>
      </c>
      <c r="N166">
        <v>0.4301075268817204</v>
      </c>
      <c r="O166">
        <v>4</v>
      </c>
      <c r="P166">
        <v>0.0602809527753625</v>
      </c>
      <c r="Q166">
        <v>0.292765222849968</v>
      </c>
      <c r="R166" t="s">
        <v>776</v>
      </c>
      <c r="S166" t="s">
        <v>788</v>
      </c>
      <c r="T166">
        <v>37017.905527</v>
      </c>
      <c r="U166" s="2">
        <v>44424</v>
      </c>
      <c r="V166" t="s">
        <v>796</v>
      </c>
    </row>
    <row r="167" spans="1:22">
      <c r="A167" s="1" t="s">
        <v>187</v>
      </c>
      <c r="B167">
        <f>HYPERLINK("https://www.suredividend.com/sure-analysis-NJR/","New Jersey Resources Corporation")</f>
        <v>0</v>
      </c>
      <c r="C167">
        <v>37.05</v>
      </c>
      <c r="D167">
        <v>40</v>
      </c>
      <c r="E167">
        <v>0.9262499999999999</v>
      </c>
      <c r="F167">
        <v>0.0358974358974359</v>
      </c>
      <c r="G167">
        <v>0.01544020753217912</v>
      </c>
      <c r="H167">
        <v>0.06</v>
      </c>
      <c r="I167">
        <v>0.1065839960945709</v>
      </c>
      <c r="J167" t="s">
        <v>773</v>
      </c>
      <c r="K167" t="s">
        <v>773</v>
      </c>
      <c r="L167">
        <v>2.15</v>
      </c>
      <c r="M167">
        <v>1.33</v>
      </c>
      <c r="N167">
        <v>0.6186046511627907</v>
      </c>
      <c r="O167">
        <v>25</v>
      </c>
      <c r="P167">
        <v>0.06001905503876492</v>
      </c>
      <c r="Q167">
        <v>0.349711262033732</v>
      </c>
      <c r="R167" t="s">
        <v>776</v>
      </c>
      <c r="S167" t="s">
        <v>787</v>
      </c>
      <c r="T167">
        <v>3635.558068</v>
      </c>
      <c r="U167" s="2">
        <v>44418</v>
      </c>
      <c r="V167" t="s">
        <v>793</v>
      </c>
    </row>
    <row r="168" spans="1:22">
      <c r="A168" s="1" t="s">
        <v>188</v>
      </c>
      <c r="B168">
        <f>HYPERLINK("https://www.suredividend.com/sure-analysis-SAP/","Sap SE")</f>
        <v>0</v>
      </c>
      <c r="C168">
        <v>145.37</v>
      </c>
      <c r="D168">
        <v>153</v>
      </c>
      <c r="E168">
        <v>0.9501307189542484</v>
      </c>
      <c r="F168">
        <v>0.01554653642429662</v>
      </c>
      <c r="G168">
        <v>0.01028365806421516</v>
      </c>
      <c r="H168">
        <v>0.08</v>
      </c>
      <c r="I168">
        <v>0.1048635404343827</v>
      </c>
      <c r="J168" t="s">
        <v>773</v>
      </c>
      <c r="K168" t="s">
        <v>378</v>
      </c>
      <c r="L168">
        <v>7.3</v>
      </c>
      <c r="M168">
        <v>2.26</v>
      </c>
      <c r="N168">
        <v>0.3095890410958904</v>
      </c>
      <c r="O168">
        <v>5</v>
      </c>
      <c r="P168">
        <v>0.08511082395204883</v>
      </c>
      <c r="Q168">
        <v>-0.043142147416261</v>
      </c>
      <c r="R168" t="s">
        <v>776</v>
      </c>
      <c r="S168" t="s">
        <v>784</v>
      </c>
      <c r="T168">
        <v>179398.130705</v>
      </c>
      <c r="U168" s="2">
        <v>44415</v>
      </c>
      <c r="V168" t="s">
        <v>794</v>
      </c>
    </row>
    <row r="169" spans="1:22">
      <c r="A169" s="1" t="s">
        <v>189</v>
      </c>
      <c r="B169">
        <f>HYPERLINK("https://www.suredividend.com/sure-analysis-LAZ/","Lazard Ltd.")</f>
        <v>0</v>
      </c>
      <c r="C169">
        <v>50.87</v>
      </c>
      <c r="D169">
        <v>57</v>
      </c>
      <c r="E169">
        <v>0.8924561403508772</v>
      </c>
      <c r="F169">
        <v>0.03695694908590525</v>
      </c>
      <c r="G169">
        <v>0.0230164651440885</v>
      </c>
      <c r="H169">
        <v>0.05</v>
      </c>
      <c r="I169">
        <v>0.1037845474606218</v>
      </c>
      <c r="J169" t="s">
        <v>773</v>
      </c>
      <c r="K169" t="s">
        <v>773</v>
      </c>
      <c r="L169">
        <v>4.41</v>
      </c>
      <c r="M169">
        <v>1.88</v>
      </c>
      <c r="N169">
        <v>0.4263038548752834</v>
      </c>
      <c r="O169">
        <v>0</v>
      </c>
      <c r="P169">
        <v>0.04024473558263919</v>
      </c>
      <c r="Q169">
        <v>0.416962279350452</v>
      </c>
      <c r="R169" t="s">
        <v>777</v>
      </c>
      <c r="S169" t="s">
        <v>786</v>
      </c>
      <c r="T169">
        <v>5652.964142</v>
      </c>
      <c r="U169" s="2">
        <v>44423</v>
      </c>
      <c r="V169" t="s">
        <v>799</v>
      </c>
    </row>
    <row r="170" spans="1:22">
      <c r="A170" s="1" t="s">
        <v>190</v>
      </c>
      <c r="B170">
        <f>HYPERLINK("https://www.suredividend.com/sure-analysis-MURGF/","Münchener Rückversicherungs-Gesellschaft AG")</f>
        <v>0</v>
      </c>
      <c r="C170">
        <v>283.035</v>
      </c>
      <c r="D170">
        <v>319</v>
      </c>
      <c r="E170">
        <v>0.8872570532915361</v>
      </c>
      <c r="F170">
        <v>0.04593071528256222</v>
      </c>
      <c r="G170">
        <v>0.02421258496462175</v>
      </c>
      <c r="H170">
        <v>0.04</v>
      </c>
      <c r="I170">
        <v>0.1036922752891072</v>
      </c>
      <c r="J170" t="s">
        <v>773</v>
      </c>
      <c r="K170" t="s">
        <v>772</v>
      </c>
      <c r="L170">
        <v>25.5</v>
      </c>
      <c r="M170">
        <v>13</v>
      </c>
      <c r="N170">
        <v>0.5098039215686274</v>
      </c>
      <c r="O170">
        <v>6</v>
      </c>
      <c r="P170">
        <v>0.0499789846479779</v>
      </c>
      <c r="Q170">
        <v>0.156024340770791</v>
      </c>
      <c r="R170" t="s">
        <v>776</v>
      </c>
      <c r="S170" t="s">
        <v>786</v>
      </c>
      <c r="T170">
        <v>39922.591378</v>
      </c>
      <c r="U170" s="2">
        <v>44422</v>
      </c>
      <c r="V170" t="s">
        <v>791</v>
      </c>
    </row>
    <row r="171" spans="1:22">
      <c r="A171" s="1" t="s">
        <v>191</v>
      </c>
      <c r="B171">
        <f>HYPERLINK("https://www.suredividend.com/sure-analysis-BLK/","Blackrock Inc.")</f>
        <v>0</v>
      </c>
      <c r="C171">
        <v>896.3099999999999</v>
      </c>
      <c r="D171">
        <v>802</v>
      </c>
      <c r="E171">
        <v>1.117593516209476</v>
      </c>
      <c r="F171">
        <v>0.01843112316051366</v>
      </c>
      <c r="G171">
        <v>-0.02199015788203074</v>
      </c>
      <c r="H171">
        <v>0.11</v>
      </c>
      <c r="I171">
        <v>0.1033489804324788</v>
      </c>
      <c r="J171" t="s">
        <v>773</v>
      </c>
      <c r="K171" t="s">
        <v>378</v>
      </c>
      <c r="L171">
        <v>38.2</v>
      </c>
      <c r="M171">
        <v>16.52</v>
      </c>
      <c r="N171">
        <v>0.4324607329842932</v>
      </c>
      <c r="O171">
        <v>11</v>
      </c>
      <c r="P171">
        <v>0.1100226421779109</v>
      </c>
      <c r="Q171">
        <v>0.4079803243417051</v>
      </c>
      <c r="R171" t="s">
        <v>776</v>
      </c>
      <c r="S171" t="s">
        <v>786</v>
      </c>
      <c r="T171">
        <v>138081.156064</v>
      </c>
      <c r="U171" s="2">
        <v>44484</v>
      </c>
      <c r="V171" t="s">
        <v>801</v>
      </c>
    </row>
    <row r="172" spans="1:22">
      <c r="A172" s="1" t="s">
        <v>192</v>
      </c>
      <c r="B172">
        <f>HYPERLINK("https://www.suredividend.com/sure-analysis-SWX/","Southwest Gas Holdings Inc")</f>
        <v>0</v>
      </c>
      <c r="C172">
        <v>69.22</v>
      </c>
      <c r="D172">
        <v>76</v>
      </c>
      <c r="E172">
        <v>0.9107894736842105</v>
      </c>
      <c r="F172">
        <v>0.03409419242993354</v>
      </c>
      <c r="G172">
        <v>0.01886442717200998</v>
      </c>
      <c r="H172">
        <v>0.055</v>
      </c>
      <c r="I172">
        <v>0.1030151889563027</v>
      </c>
      <c r="J172" t="s">
        <v>773</v>
      </c>
      <c r="K172" t="s">
        <v>773</v>
      </c>
      <c r="L172">
        <v>4.1</v>
      </c>
      <c r="M172">
        <v>2.36</v>
      </c>
      <c r="N172">
        <v>0.575609756097561</v>
      </c>
      <c r="O172">
        <v>14</v>
      </c>
      <c r="P172">
        <v>0.04985881365701572</v>
      </c>
      <c r="Q172">
        <v>0.06463678190814101</v>
      </c>
      <c r="R172" t="s">
        <v>776</v>
      </c>
      <c r="S172" t="s">
        <v>787</v>
      </c>
      <c r="T172">
        <v>4063.853324</v>
      </c>
      <c r="U172" s="2">
        <v>44417</v>
      </c>
      <c r="V172" t="s">
        <v>793</v>
      </c>
    </row>
    <row r="173" spans="1:22">
      <c r="A173" s="1" t="s">
        <v>193</v>
      </c>
      <c r="B173">
        <f>HYPERLINK("https://www.suredividend.com/sure-analysis-RBGLY/","Reckitt Benckiser Group Plc")</f>
        <v>0</v>
      </c>
      <c r="C173">
        <v>15.09</v>
      </c>
      <c r="D173">
        <v>18</v>
      </c>
      <c r="E173">
        <v>0.8383333333333334</v>
      </c>
      <c r="F173">
        <v>0.0291583830351226</v>
      </c>
      <c r="G173">
        <v>0.03589718540278075</v>
      </c>
      <c r="H173">
        <v>0.04</v>
      </c>
      <c r="I173">
        <v>0.100546778325435</v>
      </c>
      <c r="J173" t="s">
        <v>773</v>
      </c>
      <c r="K173" t="s">
        <v>773</v>
      </c>
      <c r="L173">
        <v>1.2</v>
      </c>
      <c r="M173">
        <v>0.44</v>
      </c>
      <c r="N173">
        <v>0.3666666666666667</v>
      </c>
      <c r="O173">
        <v>0</v>
      </c>
      <c r="P173">
        <v>0.03792181163298758</v>
      </c>
      <c r="Q173">
        <v>-0.218456725755995</v>
      </c>
      <c r="R173" t="s">
        <v>776</v>
      </c>
      <c r="S173" t="s">
        <v>785</v>
      </c>
      <c r="T173">
        <v>53530.498419</v>
      </c>
      <c r="U173" s="2">
        <v>44405</v>
      </c>
      <c r="V173" t="s">
        <v>802</v>
      </c>
    </row>
    <row r="174" spans="1:22">
      <c r="A174" s="1" t="s">
        <v>194</v>
      </c>
      <c r="B174">
        <f>HYPERLINK("https://www.suredividend.com/sure-analysis-EMN/","Eastman Chemical Co")</f>
        <v>0</v>
      </c>
      <c r="C174">
        <v>106.98</v>
      </c>
      <c r="D174">
        <v>122</v>
      </c>
      <c r="E174">
        <v>0.8768852459016394</v>
      </c>
      <c r="F174">
        <v>0.02579921480650589</v>
      </c>
      <c r="G174">
        <v>0.02662408183609477</v>
      </c>
      <c r="H174">
        <v>0.05</v>
      </c>
      <c r="I174">
        <v>0.0992585585492276</v>
      </c>
      <c r="J174" t="s">
        <v>773</v>
      </c>
      <c r="K174" t="s">
        <v>773</v>
      </c>
      <c r="L174">
        <v>9</v>
      </c>
      <c r="M174">
        <v>2.76</v>
      </c>
      <c r="N174">
        <v>0.3066666666666666</v>
      </c>
      <c r="O174">
        <v>11</v>
      </c>
      <c r="P174">
        <v>0.04984870359842875</v>
      </c>
      <c r="Q174">
        <v>0.272103644991025</v>
      </c>
      <c r="R174" t="s">
        <v>776</v>
      </c>
      <c r="S174" t="s">
        <v>782</v>
      </c>
      <c r="T174">
        <v>14578.990539</v>
      </c>
      <c r="U174" s="2">
        <v>44411</v>
      </c>
      <c r="V174" t="s">
        <v>791</v>
      </c>
    </row>
    <row r="175" spans="1:22">
      <c r="A175" s="1" t="s">
        <v>195</v>
      </c>
      <c r="B175">
        <f>HYPERLINK("https://www.suredividend.com/sure-analysis-KDP/","Keurig Dr Pepper Inc")</f>
        <v>0</v>
      </c>
      <c r="C175">
        <v>34.76</v>
      </c>
      <c r="D175">
        <v>32</v>
      </c>
      <c r="E175">
        <v>1.08625</v>
      </c>
      <c r="F175">
        <v>0.02042577675489068</v>
      </c>
      <c r="G175">
        <v>-0.01641014172868616</v>
      </c>
      <c r="H175">
        <v>0.1</v>
      </c>
      <c r="I175">
        <v>0.09875992000785083</v>
      </c>
      <c r="J175" t="s">
        <v>773</v>
      </c>
      <c r="K175" t="s">
        <v>378</v>
      </c>
      <c r="L175">
        <v>1.6</v>
      </c>
      <c r="M175">
        <v>0.71</v>
      </c>
      <c r="N175">
        <v>0.44375</v>
      </c>
      <c r="O175">
        <v>1</v>
      </c>
      <c r="P175">
        <v>0.05088842545712402</v>
      </c>
      <c r="Q175">
        <v>0.210220554213151</v>
      </c>
      <c r="R175" t="s">
        <v>776</v>
      </c>
      <c r="S175" t="s">
        <v>785</v>
      </c>
      <c r="T175">
        <v>50057.255892</v>
      </c>
      <c r="U175" s="2">
        <v>44439</v>
      </c>
      <c r="V175" t="s">
        <v>799</v>
      </c>
    </row>
    <row r="176" spans="1:22">
      <c r="A176" s="1" t="s">
        <v>196</v>
      </c>
      <c r="B176">
        <f>HYPERLINK("https://www.suredividend.com/sure-analysis-MO/","Altria Group Inc.")</f>
        <v>0</v>
      </c>
      <c r="C176">
        <v>48.13</v>
      </c>
      <c r="D176">
        <v>50.8</v>
      </c>
      <c r="E176">
        <v>0.9474409448818899</v>
      </c>
      <c r="F176">
        <v>0.0747974236442967</v>
      </c>
      <c r="G176">
        <v>0.01085664451647883</v>
      </c>
      <c r="H176">
        <v>0.022</v>
      </c>
      <c r="I176">
        <v>0.09657860233488291</v>
      </c>
      <c r="J176" t="s">
        <v>773</v>
      </c>
      <c r="K176" t="s">
        <v>772</v>
      </c>
      <c r="L176">
        <v>4.62</v>
      </c>
      <c r="M176">
        <v>3.6</v>
      </c>
      <c r="N176">
        <v>0.7792207792207793</v>
      </c>
      <c r="O176">
        <v>52</v>
      </c>
      <c r="P176">
        <v>0.02983277847878951</v>
      </c>
      <c r="Q176">
        <v>0.325281860510682</v>
      </c>
      <c r="R176" t="s">
        <v>776</v>
      </c>
      <c r="S176" t="s">
        <v>785</v>
      </c>
      <c r="T176">
        <v>89806.593584</v>
      </c>
      <c r="U176" s="2">
        <v>44420</v>
      </c>
      <c r="V176" t="s">
        <v>800</v>
      </c>
    </row>
    <row r="177" spans="1:22">
      <c r="A177" s="1" t="s">
        <v>197</v>
      </c>
      <c r="B177">
        <f>HYPERLINK("https://www.suredividend.com/sure-analysis-BNS/","Bank Of Nova Scotia")</f>
        <v>0</v>
      </c>
      <c r="C177">
        <v>64.56999999999999</v>
      </c>
      <c r="D177">
        <v>67</v>
      </c>
      <c r="E177">
        <v>0.963731343283582</v>
      </c>
      <c r="F177">
        <v>0.04351866191729906</v>
      </c>
      <c r="G177">
        <v>0.007415905179498194</v>
      </c>
      <c r="H177">
        <v>0.05</v>
      </c>
      <c r="I177">
        <v>0.09556022608287429</v>
      </c>
      <c r="J177" t="s">
        <v>773</v>
      </c>
      <c r="K177" t="s">
        <v>772</v>
      </c>
      <c r="L177">
        <v>5.93</v>
      </c>
      <c r="M177">
        <v>2.81</v>
      </c>
      <c r="N177">
        <v>0.4738617200674536</v>
      </c>
      <c r="O177">
        <v>9</v>
      </c>
      <c r="P177">
        <v>0.05196296413233981</v>
      </c>
      <c r="Q177">
        <v>0.585758925276185</v>
      </c>
      <c r="R177" t="s">
        <v>776</v>
      </c>
      <c r="S177" t="s">
        <v>786</v>
      </c>
      <c r="T177">
        <v>78315.86728999999</v>
      </c>
      <c r="U177" s="2">
        <v>44436</v>
      </c>
      <c r="V177" t="s">
        <v>801</v>
      </c>
    </row>
    <row r="178" spans="1:22">
      <c r="A178" s="1" t="s">
        <v>198</v>
      </c>
      <c r="B178">
        <f>HYPERLINK("https://www.suredividend.com/sure-analysis-OGN/","Organon &amp; Co.")</f>
        <v>0</v>
      </c>
      <c r="C178">
        <v>34.8</v>
      </c>
      <c r="D178">
        <v>42</v>
      </c>
      <c r="E178">
        <v>0.8285714285714285</v>
      </c>
      <c r="F178">
        <v>0.03218390804597702</v>
      </c>
      <c r="G178">
        <v>0.0383266700886169</v>
      </c>
      <c r="H178">
        <v>0.03</v>
      </c>
      <c r="I178">
        <v>0.09514098339833832</v>
      </c>
      <c r="J178" t="s">
        <v>773</v>
      </c>
      <c r="K178" t="s">
        <v>772</v>
      </c>
      <c r="L178">
        <v>5.98</v>
      </c>
      <c r="M178">
        <v>1.12</v>
      </c>
      <c r="N178">
        <v>0.1872909698996656</v>
      </c>
      <c r="O178">
        <v>0</v>
      </c>
      <c r="P178">
        <v>0.03025579475561258</v>
      </c>
      <c r="Q178">
        <v>0.04932330827067601</v>
      </c>
      <c r="R178" t="s">
        <v>776</v>
      </c>
      <c r="S178" t="s">
        <v>781</v>
      </c>
      <c r="T178">
        <v>8846.186829</v>
      </c>
      <c r="U178" s="2">
        <v>44422</v>
      </c>
      <c r="V178" t="s">
        <v>792</v>
      </c>
    </row>
    <row r="179" spans="1:22">
      <c r="A179" s="1" t="s">
        <v>199</v>
      </c>
      <c r="B179">
        <f>HYPERLINK("https://www.suredividend.com/sure-analysis-UNH/","Unitedhealth Group Inc")</f>
        <v>0</v>
      </c>
      <c r="C179">
        <v>424.62</v>
      </c>
      <c r="D179">
        <v>354</v>
      </c>
      <c r="E179">
        <v>1.199491525423729</v>
      </c>
      <c r="F179">
        <v>0.01365927181950921</v>
      </c>
      <c r="G179">
        <v>-0.03572576398772132</v>
      </c>
      <c r="H179">
        <v>0.12</v>
      </c>
      <c r="I179">
        <v>0.0947142737304707</v>
      </c>
      <c r="J179" t="s">
        <v>773</v>
      </c>
      <c r="K179" t="s">
        <v>378</v>
      </c>
      <c r="L179">
        <v>18.65</v>
      </c>
      <c r="M179">
        <v>5.8</v>
      </c>
      <c r="N179">
        <v>0.3109919571045577</v>
      </c>
      <c r="O179">
        <v>12</v>
      </c>
      <c r="P179">
        <v>0.1400529846685179</v>
      </c>
      <c r="Q179">
        <v>0.316260414591128</v>
      </c>
      <c r="R179" t="s">
        <v>776</v>
      </c>
      <c r="S179" t="s">
        <v>781</v>
      </c>
      <c r="T179">
        <v>403634.636864</v>
      </c>
      <c r="U179" s="2">
        <v>44395</v>
      </c>
      <c r="V179" t="s">
        <v>795</v>
      </c>
    </row>
    <row r="180" spans="1:22">
      <c r="A180" s="1" t="s">
        <v>200</v>
      </c>
      <c r="B180">
        <f>HYPERLINK("https://www.suredividend.com/sure-analysis-MRK/","Merck &amp; Co Inc")</f>
        <v>0</v>
      </c>
      <c r="C180">
        <v>77.15000000000001</v>
      </c>
      <c r="D180">
        <v>83</v>
      </c>
      <c r="E180">
        <v>0.9295180722891567</v>
      </c>
      <c r="F180">
        <v>0.03370058327932599</v>
      </c>
      <c r="G180">
        <v>0.01472516841808691</v>
      </c>
      <c r="H180">
        <v>0.05</v>
      </c>
      <c r="I180">
        <v>0.09422086052600132</v>
      </c>
      <c r="J180" t="s">
        <v>773</v>
      </c>
      <c r="K180" t="s">
        <v>773</v>
      </c>
      <c r="L180">
        <v>5.52</v>
      </c>
      <c r="M180">
        <v>2.6</v>
      </c>
      <c r="N180">
        <v>0.4710144927536232</v>
      </c>
      <c r="O180">
        <v>10</v>
      </c>
      <c r="P180">
        <v>0.05010553388446692</v>
      </c>
      <c r="Q180">
        <v>0.015240926924168</v>
      </c>
      <c r="R180" t="s">
        <v>776</v>
      </c>
      <c r="S180" t="s">
        <v>781</v>
      </c>
      <c r="T180">
        <v>198282.579938</v>
      </c>
      <c r="U180" s="2">
        <v>44409</v>
      </c>
      <c r="V180" t="s">
        <v>792</v>
      </c>
    </row>
    <row r="181" spans="1:22">
      <c r="A181" s="1" t="s">
        <v>201</v>
      </c>
      <c r="B181">
        <f>HYPERLINK("https://www.suredividend.com/sure-analysis-ENB/","Enbridge Inc")</f>
        <v>0</v>
      </c>
      <c r="C181">
        <v>42.65</v>
      </c>
      <c r="D181">
        <v>42</v>
      </c>
      <c r="E181">
        <v>1.01547619047619</v>
      </c>
      <c r="F181">
        <v>0.06471277842907386</v>
      </c>
      <c r="G181">
        <v>-0.003066818805039895</v>
      </c>
      <c r="H181">
        <v>0.04</v>
      </c>
      <c r="I181">
        <v>0.09414500755135236</v>
      </c>
      <c r="J181" t="s">
        <v>773</v>
      </c>
      <c r="K181" t="s">
        <v>772</v>
      </c>
      <c r="L181">
        <v>3.85</v>
      </c>
      <c r="M181">
        <v>2.76</v>
      </c>
      <c r="N181">
        <v>0.7168831168831168</v>
      </c>
      <c r="O181">
        <v>26</v>
      </c>
      <c r="P181">
        <v>0.04503268070663458</v>
      </c>
      <c r="Q181">
        <v>0.5545896190232671</v>
      </c>
      <c r="R181" t="s">
        <v>776</v>
      </c>
      <c r="S181" t="s">
        <v>789</v>
      </c>
      <c r="T181">
        <v>86218.33957900001</v>
      </c>
      <c r="U181" s="2">
        <v>44424</v>
      </c>
      <c r="V181" t="s">
        <v>794</v>
      </c>
    </row>
    <row r="182" spans="1:22">
      <c r="A182" s="1" t="s">
        <v>202</v>
      </c>
      <c r="B182">
        <f>HYPERLINK("https://www.suredividend.com/sure-analysis-EIX/","Edison International")</f>
        <v>0</v>
      </c>
      <c r="C182">
        <v>57.16</v>
      </c>
      <c r="D182">
        <v>56.7</v>
      </c>
      <c r="E182">
        <v>1.008112874779541</v>
      </c>
      <c r="F182">
        <v>0.04636109167249825</v>
      </c>
      <c r="G182">
        <v>-0.001614723394696482</v>
      </c>
      <c r="H182">
        <v>0.057</v>
      </c>
      <c r="I182">
        <v>0.09353094780757121</v>
      </c>
      <c r="J182" t="s">
        <v>773</v>
      </c>
      <c r="K182" t="s">
        <v>772</v>
      </c>
      <c r="L182">
        <v>4.5</v>
      </c>
      <c r="M182">
        <v>2.65</v>
      </c>
      <c r="N182">
        <v>0.5888888888888889</v>
      </c>
      <c r="O182">
        <v>17</v>
      </c>
      <c r="P182">
        <v>0.03186567045409161</v>
      </c>
      <c r="Q182">
        <v>0.032254580798444</v>
      </c>
      <c r="R182" t="s">
        <v>776</v>
      </c>
      <c r="S182" t="s">
        <v>787</v>
      </c>
      <c r="T182">
        <v>21776.070223</v>
      </c>
      <c r="U182" s="2">
        <v>44411</v>
      </c>
      <c r="V182" t="s">
        <v>800</v>
      </c>
    </row>
    <row r="183" spans="1:22">
      <c r="A183" s="1" t="s">
        <v>203</v>
      </c>
      <c r="B183">
        <f>HYPERLINK("https://www.suredividend.com/sure-analysis-OMC/","Omnicom Group, Inc.")</f>
        <v>0</v>
      </c>
      <c r="C183">
        <v>76.41</v>
      </c>
      <c r="D183">
        <v>84</v>
      </c>
      <c r="E183">
        <v>0.9096428571428571</v>
      </c>
      <c r="F183">
        <v>0.03664441826985997</v>
      </c>
      <c r="G183">
        <v>0.01912115610808929</v>
      </c>
      <c r="H183">
        <v>0.04</v>
      </c>
      <c r="I183">
        <v>0.09206995454113498</v>
      </c>
      <c r="J183" t="s">
        <v>773</v>
      </c>
      <c r="K183" t="s">
        <v>773</v>
      </c>
      <c r="L183">
        <v>6</v>
      </c>
      <c r="M183">
        <v>2.8</v>
      </c>
      <c r="N183">
        <v>0.4666666666666666</v>
      </c>
      <c r="O183">
        <v>1</v>
      </c>
      <c r="P183">
        <v>0.05502951838285242</v>
      </c>
      <c r="Q183">
        <v>0.5147229008615141</v>
      </c>
      <c r="R183" t="s">
        <v>776</v>
      </c>
      <c r="S183" t="s">
        <v>780</v>
      </c>
      <c r="T183">
        <v>16417.198278</v>
      </c>
      <c r="U183" s="2">
        <v>44400</v>
      </c>
      <c r="V183" t="s">
        <v>794</v>
      </c>
    </row>
    <row r="184" spans="1:22">
      <c r="A184" s="1" t="s">
        <v>204</v>
      </c>
      <c r="B184">
        <f>HYPERLINK("https://www.suredividend.com/sure-analysis-MDLZ/","Mondelez International Inc.")</f>
        <v>0</v>
      </c>
      <c r="C184">
        <v>59.75</v>
      </c>
      <c r="D184">
        <v>57</v>
      </c>
      <c r="E184">
        <v>1.048245614035088</v>
      </c>
      <c r="F184">
        <v>0.02343096234309623</v>
      </c>
      <c r="G184">
        <v>-0.009379321769380167</v>
      </c>
      <c r="H184">
        <v>0.08</v>
      </c>
      <c r="I184">
        <v>0.09164831419641395</v>
      </c>
      <c r="J184" t="s">
        <v>773</v>
      </c>
      <c r="K184" t="s">
        <v>378</v>
      </c>
      <c r="L184">
        <v>2.85</v>
      </c>
      <c r="M184">
        <v>1.4</v>
      </c>
      <c r="N184">
        <v>0.4912280701754386</v>
      </c>
      <c r="O184">
        <v>8</v>
      </c>
      <c r="P184">
        <v>0.08030860883184343</v>
      </c>
      <c r="Q184">
        <v>0.060293039259927</v>
      </c>
      <c r="R184" t="s">
        <v>776</v>
      </c>
      <c r="S184" t="s">
        <v>785</v>
      </c>
      <c r="T184">
        <v>84078.71919600001</v>
      </c>
      <c r="U184" s="2">
        <v>44410</v>
      </c>
      <c r="V184" t="s">
        <v>801</v>
      </c>
    </row>
    <row r="185" spans="1:22">
      <c r="A185" s="1" t="s">
        <v>205</v>
      </c>
      <c r="B185">
        <f>HYPERLINK("https://www.suredividend.com/sure-analysis-TD/","Toronto Dominion Bank")</f>
        <v>0</v>
      </c>
      <c r="C185">
        <v>70.55</v>
      </c>
      <c r="D185">
        <v>74</v>
      </c>
      <c r="E185">
        <v>0.9533783783783784</v>
      </c>
      <c r="F185">
        <v>0.03557760453579022</v>
      </c>
      <c r="G185">
        <v>0.009594417105385888</v>
      </c>
      <c r="H185">
        <v>0.05</v>
      </c>
      <c r="I185">
        <v>0.09089813829047233</v>
      </c>
      <c r="J185" t="s">
        <v>773</v>
      </c>
      <c r="K185" t="s">
        <v>772</v>
      </c>
      <c r="L185">
        <v>6.08</v>
      </c>
      <c r="M185">
        <v>2.51</v>
      </c>
      <c r="N185">
        <v>0.412828947368421</v>
      </c>
      <c r="O185">
        <v>9</v>
      </c>
      <c r="P185">
        <v>0.04977264413928073</v>
      </c>
      <c r="Q185">
        <v>0.58137882018479</v>
      </c>
      <c r="R185" t="s">
        <v>776</v>
      </c>
      <c r="S185" t="s">
        <v>786</v>
      </c>
      <c r="T185">
        <v>128150.484376</v>
      </c>
      <c r="U185" s="2">
        <v>44444</v>
      </c>
      <c r="V185" t="s">
        <v>801</v>
      </c>
    </row>
    <row r="186" spans="1:22">
      <c r="A186" s="1" t="s">
        <v>206</v>
      </c>
      <c r="B186">
        <f>HYPERLINK("https://www.suredividend.com/sure-analysis-WU/","Western Union Company")</f>
        <v>0</v>
      </c>
      <c r="C186">
        <v>21.29</v>
      </c>
      <c r="D186">
        <v>25</v>
      </c>
      <c r="E186">
        <v>0.8515999999999999</v>
      </c>
      <c r="F186">
        <v>0.04415218412400188</v>
      </c>
      <c r="G186">
        <v>0.03264933439640516</v>
      </c>
      <c r="H186">
        <v>0.02</v>
      </c>
      <c r="I186">
        <v>0.09085909506872136</v>
      </c>
      <c r="J186" t="s">
        <v>773</v>
      </c>
      <c r="K186" t="s">
        <v>772</v>
      </c>
      <c r="L186">
        <v>2.05</v>
      </c>
      <c r="M186">
        <v>0.9399999999999999</v>
      </c>
      <c r="N186">
        <v>0.4585365853658537</v>
      </c>
      <c r="O186">
        <v>7</v>
      </c>
      <c r="P186">
        <v>0.03933463380769542</v>
      </c>
      <c r="Q186">
        <v>0.002546449118174</v>
      </c>
      <c r="R186" t="s">
        <v>776</v>
      </c>
      <c r="S186" t="s">
        <v>786</v>
      </c>
      <c r="T186">
        <v>8638.962775</v>
      </c>
      <c r="U186" s="2">
        <v>44425</v>
      </c>
      <c r="V186" t="s">
        <v>799</v>
      </c>
    </row>
    <row r="187" spans="1:22">
      <c r="A187" s="1" t="s">
        <v>207</v>
      </c>
      <c r="B187">
        <f>HYPERLINK("https://www.suredividend.com/sure-analysis-BR/","Broadridge Financial Solutions, Inc.")</f>
        <v>0</v>
      </c>
      <c r="C187">
        <v>178.02</v>
      </c>
      <c r="D187">
        <v>160</v>
      </c>
      <c r="E187">
        <v>1.112625</v>
      </c>
      <c r="F187">
        <v>0.01438040669587687</v>
      </c>
      <c r="G187">
        <v>-0.02111823766181442</v>
      </c>
      <c r="H187">
        <v>0.1</v>
      </c>
      <c r="I187">
        <v>0.09076298517111758</v>
      </c>
      <c r="J187" t="s">
        <v>773</v>
      </c>
      <c r="K187" t="s">
        <v>486</v>
      </c>
      <c r="L187">
        <v>6.39</v>
      </c>
      <c r="M187">
        <v>2.56</v>
      </c>
      <c r="N187">
        <v>0.4006259780907668</v>
      </c>
      <c r="O187">
        <v>13</v>
      </c>
      <c r="P187">
        <v>0.09984491222048941</v>
      </c>
      <c r="Q187">
        <v>0.274555775450387</v>
      </c>
      <c r="R187" t="s">
        <v>776</v>
      </c>
      <c r="S187" t="s">
        <v>784</v>
      </c>
      <c r="T187">
        <v>20903.328401</v>
      </c>
      <c r="U187" s="2">
        <v>44421</v>
      </c>
      <c r="V187" t="s">
        <v>793</v>
      </c>
    </row>
    <row r="188" spans="1:22">
      <c r="A188" s="1" t="s">
        <v>208</v>
      </c>
      <c r="B188">
        <f>HYPERLINK("https://www.suredividend.com/sure-analysis-HBI/","Hanesbrands Inc")</f>
        <v>0</v>
      </c>
      <c r="C188">
        <v>16.83</v>
      </c>
      <c r="D188">
        <v>17</v>
      </c>
      <c r="E188">
        <v>0.9899999999999999</v>
      </c>
      <c r="F188">
        <v>0.035650623885918</v>
      </c>
      <c r="G188">
        <v>0.002012088709965276</v>
      </c>
      <c r="H188">
        <v>0.06</v>
      </c>
      <c r="I188">
        <v>0.09002687911193807</v>
      </c>
      <c r="J188" t="s">
        <v>773</v>
      </c>
      <c r="K188" t="s">
        <v>773</v>
      </c>
      <c r="L188">
        <v>1.74</v>
      </c>
      <c r="M188">
        <v>0.6</v>
      </c>
      <c r="N188">
        <v>0.3448275862068965</v>
      </c>
      <c r="O188">
        <v>0</v>
      </c>
      <c r="P188">
        <v>0.01613736474159566</v>
      </c>
      <c r="Q188">
        <v>0.015078585757574</v>
      </c>
      <c r="R188" t="s">
        <v>776</v>
      </c>
      <c r="S188" t="s">
        <v>788</v>
      </c>
      <c r="T188">
        <v>5883.206263</v>
      </c>
      <c r="U188" s="2">
        <v>44434</v>
      </c>
      <c r="V188" t="s">
        <v>796</v>
      </c>
    </row>
    <row r="189" spans="1:22">
      <c r="A189" s="1" t="s">
        <v>209</v>
      </c>
      <c r="B189">
        <f>HYPERLINK("https://www.suredividend.com/sure-analysis-SLF/","Sun Life Financial, Inc.")</f>
        <v>0</v>
      </c>
      <c r="C189">
        <v>55.73</v>
      </c>
      <c r="D189">
        <v>53</v>
      </c>
      <c r="E189">
        <v>1.051509433962264</v>
      </c>
      <c r="F189">
        <v>0.03140139960523955</v>
      </c>
      <c r="G189">
        <v>-0.009995051722473169</v>
      </c>
      <c r="H189">
        <v>0.07000000000000001</v>
      </c>
      <c r="I189">
        <v>0.08916483893956983</v>
      </c>
      <c r="J189" t="s">
        <v>773</v>
      </c>
      <c r="K189" t="s">
        <v>773</v>
      </c>
      <c r="L189">
        <v>4.8</v>
      </c>
      <c r="M189">
        <v>1.75</v>
      </c>
      <c r="N189">
        <v>0.3645833333333334</v>
      </c>
      <c r="O189">
        <v>6</v>
      </c>
      <c r="P189">
        <v>0.07988874527364032</v>
      </c>
      <c r="Q189">
        <v>0.3973997909027691</v>
      </c>
      <c r="R189" t="s">
        <v>776</v>
      </c>
      <c r="S189" t="s">
        <v>786</v>
      </c>
      <c r="T189">
        <v>32725.704389</v>
      </c>
      <c r="U189" s="2">
        <v>44425</v>
      </c>
      <c r="V189" t="s">
        <v>794</v>
      </c>
    </row>
    <row r="190" spans="1:22">
      <c r="A190" s="1" t="s">
        <v>210</v>
      </c>
      <c r="B190">
        <f>HYPERLINK("https://www.suredividend.com/sure-analysis-GWLIF/","Great-West Lifeco, Inc.")</f>
        <v>0</v>
      </c>
      <c r="C190">
        <v>30.26</v>
      </c>
      <c r="D190">
        <v>31</v>
      </c>
      <c r="E190">
        <v>0.9761290322580646</v>
      </c>
      <c r="F190">
        <v>0.04626569729015201</v>
      </c>
      <c r="G190">
        <v>0.004843792643446809</v>
      </c>
      <c r="H190">
        <v>0.045</v>
      </c>
      <c r="I190">
        <v>0.08868599148818479</v>
      </c>
      <c r="J190" t="s">
        <v>773</v>
      </c>
      <c r="K190" t="s">
        <v>772</v>
      </c>
      <c r="L190">
        <v>2.62</v>
      </c>
      <c r="M190">
        <v>1.4</v>
      </c>
      <c r="N190">
        <v>0.5343511450381678</v>
      </c>
      <c r="O190">
        <v>6</v>
      </c>
      <c r="P190">
        <v>0.02962100943384161</v>
      </c>
      <c r="Q190">
        <v>0.468393181407641</v>
      </c>
      <c r="R190" t="s">
        <v>776</v>
      </c>
      <c r="S190" t="s">
        <v>786</v>
      </c>
      <c r="T190">
        <v>28718.521593</v>
      </c>
      <c r="U190" s="2">
        <v>44419</v>
      </c>
      <c r="V190" t="s">
        <v>793</v>
      </c>
    </row>
    <row r="191" spans="1:22">
      <c r="A191" s="1" t="s">
        <v>211</v>
      </c>
      <c r="B191">
        <f>HYPERLINK("https://www.suredividend.com/sure-analysis-CDUAF/","Canadian Utilities Ltd.")</f>
        <v>0</v>
      </c>
      <c r="C191">
        <v>28.06</v>
      </c>
      <c r="D191">
        <v>29</v>
      </c>
      <c r="E191">
        <v>0.9675862068965517</v>
      </c>
      <c r="F191">
        <v>0.04989308624376336</v>
      </c>
      <c r="G191">
        <v>0.006611913888449061</v>
      </c>
      <c r="H191">
        <v>0.04</v>
      </c>
      <c r="I191">
        <v>0.08817837165343301</v>
      </c>
      <c r="J191" t="s">
        <v>773</v>
      </c>
      <c r="K191" t="s">
        <v>772</v>
      </c>
      <c r="L191">
        <v>1.8</v>
      </c>
      <c r="M191">
        <v>1.4</v>
      </c>
      <c r="N191">
        <v>0.7777777777777777</v>
      </c>
      <c r="O191">
        <v>49</v>
      </c>
      <c r="P191">
        <v>0.02448548640749415</v>
      </c>
      <c r="Q191">
        <v>0.08461538461538401</v>
      </c>
      <c r="R191" t="s">
        <v>776</v>
      </c>
      <c r="S191" t="s">
        <v>787</v>
      </c>
      <c r="T191">
        <v>5542.247435</v>
      </c>
      <c r="U191" s="2">
        <v>44408</v>
      </c>
      <c r="V191" t="s">
        <v>791</v>
      </c>
    </row>
    <row r="192" spans="1:22">
      <c r="A192" s="1" t="s">
        <v>212</v>
      </c>
      <c r="B192">
        <f>HYPERLINK("https://www.suredividend.com/sure-analysis-BAH/","Booz Allen Hamilton Holding Corp")</f>
        <v>0</v>
      </c>
      <c r="C192">
        <v>80.84</v>
      </c>
      <c r="D192">
        <v>76</v>
      </c>
      <c r="E192">
        <v>1.063684210526316</v>
      </c>
      <c r="F192">
        <v>0.01830776843146957</v>
      </c>
      <c r="G192">
        <v>-0.01227179027452507</v>
      </c>
      <c r="H192">
        <v>0.08</v>
      </c>
      <c r="I192">
        <v>0.0877466116561243</v>
      </c>
      <c r="J192" t="s">
        <v>773</v>
      </c>
      <c r="K192" t="s">
        <v>378</v>
      </c>
      <c r="L192">
        <v>4.2</v>
      </c>
      <c r="M192">
        <v>1.48</v>
      </c>
      <c r="N192">
        <v>0.3523809523809524</v>
      </c>
      <c r="O192">
        <v>10</v>
      </c>
      <c r="P192">
        <v>0.1486983549970351</v>
      </c>
      <c r="Q192">
        <v>0.001099144299471</v>
      </c>
      <c r="R192" t="s">
        <v>776</v>
      </c>
      <c r="S192" t="s">
        <v>783</v>
      </c>
      <c r="T192">
        <v>10945.979408</v>
      </c>
      <c r="U192" s="2">
        <v>44419</v>
      </c>
      <c r="V192" t="s">
        <v>799</v>
      </c>
    </row>
    <row r="193" spans="1:22">
      <c r="A193" s="1" t="s">
        <v>213</v>
      </c>
      <c r="B193">
        <f>HYPERLINK("https://www.suredividend.com/sure-analysis-CHRW/","C.H. Robinson Worldwide, Inc.")</f>
        <v>0</v>
      </c>
      <c r="C193">
        <v>97.03</v>
      </c>
      <c r="D193">
        <v>97</v>
      </c>
      <c r="E193">
        <v>1.000309278350515</v>
      </c>
      <c r="F193">
        <v>0.02133360816242399</v>
      </c>
      <c r="G193">
        <v>-6.184419433397093e-05</v>
      </c>
      <c r="H193">
        <v>0.07000000000000001</v>
      </c>
      <c r="I193">
        <v>0.08768221687430455</v>
      </c>
      <c r="J193" t="s">
        <v>773</v>
      </c>
      <c r="K193" t="s">
        <v>773</v>
      </c>
      <c r="L193">
        <v>5.4</v>
      </c>
      <c r="M193">
        <v>2.07</v>
      </c>
      <c r="N193">
        <v>0.3833333333333333</v>
      </c>
      <c r="O193">
        <v>22</v>
      </c>
      <c r="P193">
        <v>0.04012620718096094</v>
      </c>
      <c r="Q193">
        <v>-0.034770891962272</v>
      </c>
      <c r="R193" t="s">
        <v>776</v>
      </c>
      <c r="S193" t="s">
        <v>783</v>
      </c>
      <c r="T193">
        <v>12463.882524</v>
      </c>
      <c r="U193" s="2">
        <v>44411</v>
      </c>
      <c r="V193" t="s">
        <v>798</v>
      </c>
    </row>
    <row r="194" spans="1:22">
      <c r="A194" s="1" t="s">
        <v>214</v>
      </c>
      <c r="B194">
        <f>HYPERLINK("https://www.suredividend.com/sure-analysis-BIP/","Brookfield Infrastructure Partners L.P")</f>
        <v>0</v>
      </c>
      <c r="C194">
        <v>57.33</v>
      </c>
      <c r="D194">
        <v>53</v>
      </c>
      <c r="E194">
        <v>1.081698113207547</v>
      </c>
      <c r="F194">
        <v>0.03558346415489273</v>
      </c>
      <c r="G194">
        <v>-0.01558372400099506</v>
      </c>
      <c r="H194">
        <v>0.07000000000000001</v>
      </c>
      <c r="I194">
        <v>0.08766247715433684</v>
      </c>
      <c r="J194" t="s">
        <v>773</v>
      </c>
      <c r="K194" t="s">
        <v>773</v>
      </c>
      <c r="L194">
        <v>3.5</v>
      </c>
      <c r="M194">
        <v>2.04</v>
      </c>
      <c r="N194">
        <v>0.5828571428571429</v>
      </c>
      <c r="O194">
        <v>12</v>
      </c>
      <c r="P194">
        <v>0.0801851873035635</v>
      </c>
      <c r="Q194">
        <v>0.261282618621149</v>
      </c>
      <c r="R194" t="s">
        <v>777</v>
      </c>
      <c r="S194" t="s">
        <v>787</v>
      </c>
      <c r="T194">
        <v>16975.407053</v>
      </c>
      <c r="U194" s="2">
        <v>44415</v>
      </c>
      <c r="V194" t="s">
        <v>801</v>
      </c>
    </row>
    <row r="195" spans="1:22">
      <c r="A195" s="1" t="s">
        <v>215</v>
      </c>
      <c r="B195">
        <f>HYPERLINK("https://www.suredividend.com/sure-analysis-CMI/","Cummins Inc.")</f>
        <v>0</v>
      </c>
      <c r="C195">
        <v>237.04</v>
      </c>
      <c r="D195">
        <v>221</v>
      </c>
      <c r="E195">
        <v>1.072579185520362</v>
      </c>
      <c r="F195">
        <v>0.0244684441444482</v>
      </c>
      <c r="G195">
        <v>-0.01391551192684204</v>
      </c>
      <c r="H195">
        <v>0.08</v>
      </c>
      <c r="I195">
        <v>0.08617792173938632</v>
      </c>
      <c r="J195" t="s">
        <v>773</v>
      </c>
      <c r="K195" t="s">
        <v>773</v>
      </c>
      <c r="L195">
        <v>16.25</v>
      </c>
      <c r="M195">
        <v>5.8</v>
      </c>
      <c r="N195">
        <v>0.3569230769230769</v>
      </c>
      <c r="O195">
        <v>16</v>
      </c>
      <c r="P195">
        <v>0.0499309672496191</v>
      </c>
      <c r="Q195">
        <v>0.09419399396420701</v>
      </c>
      <c r="R195" t="s">
        <v>776</v>
      </c>
      <c r="S195" t="s">
        <v>783</v>
      </c>
      <c r="T195">
        <v>34218.714561</v>
      </c>
      <c r="U195" s="2">
        <v>44415</v>
      </c>
      <c r="V195" t="s">
        <v>792</v>
      </c>
    </row>
    <row r="196" spans="1:22">
      <c r="A196" s="1" t="s">
        <v>216</v>
      </c>
      <c r="B196">
        <f>HYPERLINK("https://www.suredividend.com/sure-analysis-FTS/","Fortis Inc.")</f>
        <v>0</v>
      </c>
      <c r="C196">
        <v>45.46</v>
      </c>
      <c r="D196">
        <v>44</v>
      </c>
      <c r="E196">
        <v>1.033181818181818</v>
      </c>
      <c r="F196">
        <v>0.03563572371315443</v>
      </c>
      <c r="G196">
        <v>-0.006507371654191907</v>
      </c>
      <c r="H196">
        <v>0.06</v>
      </c>
      <c r="I196">
        <v>0.08567052716716961</v>
      </c>
      <c r="J196" t="s">
        <v>773</v>
      </c>
      <c r="K196" t="s">
        <v>772</v>
      </c>
      <c r="L196">
        <v>2.18</v>
      </c>
      <c r="M196">
        <v>1.62</v>
      </c>
      <c r="N196">
        <v>0.7431192660550459</v>
      </c>
      <c r="O196">
        <v>47</v>
      </c>
      <c r="P196">
        <v>0.06020279266594519</v>
      </c>
      <c r="Q196">
        <v>0.143295549421206</v>
      </c>
      <c r="R196" t="s">
        <v>776</v>
      </c>
      <c r="S196" t="s">
        <v>787</v>
      </c>
      <c r="T196">
        <v>21489.273509</v>
      </c>
      <c r="U196" s="2">
        <v>44412</v>
      </c>
      <c r="V196" t="s">
        <v>801</v>
      </c>
    </row>
    <row r="197" spans="1:22">
      <c r="A197" s="1" t="s">
        <v>217</v>
      </c>
      <c r="B197">
        <f>HYPERLINK("https://www.suredividend.com/sure-analysis-HD/","Home Depot, Inc.")</f>
        <v>0</v>
      </c>
      <c r="C197">
        <v>355.01</v>
      </c>
      <c r="D197">
        <v>320</v>
      </c>
      <c r="E197">
        <v>1.10940625</v>
      </c>
      <c r="F197">
        <v>0.01859102560491254</v>
      </c>
      <c r="G197">
        <v>-0.02055088454782039</v>
      </c>
      <c r="H197">
        <v>0.09</v>
      </c>
      <c r="I197">
        <v>0.08564447960129296</v>
      </c>
      <c r="J197" t="s">
        <v>773</v>
      </c>
      <c r="K197" t="s">
        <v>378</v>
      </c>
      <c r="L197">
        <v>14.55</v>
      </c>
      <c r="M197">
        <v>6.6</v>
      </c>
      <c r="N197">
        <v>0.4536082474226804</v>
      </c>
      <c r="O197">
        <v>12</v>
      </c>
      <c r="P197">
        <v>0.08989440052011655</v>
      </c>
      <c r="Q197">
        <v>0.245218182367375</v>
      </c>
      <c r="R197" t="s">
        <v>776</v>
      </c>
      <c r="S197" t="s">
        <v>788</v>
      </c>
      <c r="T197">
        <v>369808.240665</v>
      </c>
      <c r="U197" s="2">
        <v>44427</v>
      </c>
      <c r="V197" t="s">
        <v>793</v>
      </c>
    </row>
    <row r="198" spans="1:22">
      <c r="A198" s="1" t="s">
        <v>218</v>
      </c>
      <c r="B198">
        <f>HYPERLINK("https://www.suredividend.com/sure-analysis-INTC/","Intel Corp.")</f>
        <v>0</v>
      </c>
      <c r="C198">
        <v>54.47</v>
      </c>
      <c r="D198">
        <v>58</v>
      </c>
      <c r="E198">
        <v>0.9391379310344827</v>
      </c>
      <c r="F198">
        <v>0.02551863411051955</v>
      </c>
      <c r="G198">
        <v>0.01263777400232202</v>
      </c>
      <c r="H198">
        <v>0.05</v>
      </c>
      <c r="I198">
        <v>0.08545916441410117</v>
      </c>
      <c r="J198" t="s">
        <v>773</v>
      </c>
      <c r="K198" t="s">
        <v>773</v>
      </c>
      <c r="L198">
        <v>4.8</v>
      </c>
      <c r="M198">
        <v>1.39</v>
      </c>
      <c r="N198">
        <v>0.2895833333333333</v>
      </c>
      <c r="O198">
        <v>7</v>
      </c>
      <c r="P198">
        <v>0.04952235417884254</v>
      </c>
      <c r="Q198">
        <v>0.031912353768204</v>
      </c>
      <c r="R198" t="s">
        <v>776</v>
      </c>
      <c r="S198" t="s">
        <v>784</v>
      </c>
      <c r="T198">
        <v>220944.22</v>
      </c>
      <c r="U198" s="2">
        <v>44400</v>
      </c>
      <c r="V198" t="s">
        <v>792</v>
      </c>
    </row>
    <row r="199" spans="1:22">
      <c r="A199" s="1" t="s">
        <v>219</v>
      </c>
      <c r="B199">
        <f>HYPERLINK("https://www.suredividend.com/sure-analysis-BMO/","Bank of Montreal")</f>
        <v>0</v>
      </c>
      <c r="C199">
        <v>106.98</v>
      </c>
      <c r="D199">
        <v>110</v>
      </c>
      <c r="E199">
        <v>0.9725454545454546</v>
      </c>
      <c r="F199">
        <v>0.03094036268461394</v>
      </c>
      <c r="G199">
        <v>0.005583221345947242</v>
      </c>
      <c r="H199">
        <v>0.05</v>
      </c>
      <c r="I199">
        <v>0.08474065506976358</v>
      </c>
      <c r="J199" t="s">
        <v>773</v>
      </c>
      <c r="K199" t="s">
        <v>773</v>
      </c>
      <c r="L199">
        <v>9.779999999999999</v>
      </c>
      <c r="M199">
        <v>3.31</v>
      </c>
      <c r="N199">
        <v>0.3384458077709612</v>
      </c>
      <c r="O199">
        <v>9</v>
      </c>
      <c r="P199">
        <v>0.06850014718252129</v>
      </c>
      <c r="Q199">
        <v>0.822066016539825</v>
      </c>
      <c r="R199" t="s">
        <v>776</v>
      </c>
      <c r="S199" t="s">
        <v>786</v>
      </c>
      <c r="T199">
        <v>69464.44504000001</v>
      </c>
      <c r="U199" s="2">
        <v>44442</v>
      </c>
      <c r="V199" t="s">
        <v>801</v>
      </c>
    </row>
    <row r="200" spans="1:22">
      <c r="A200" s="1" t="s">
        <v>220</v>
      </c>
      <c r="B200">
        <f>HYPERLINK("https://www.suredividend.com/sure-analysis-TTC/","Toro Co.")</f>
        <v>0</v>
      </c>
      <c r="C200">
        <v>98.18000000000001</v>
      </c>
      <c r="D200">
        <v>83</v>
      </c>
      <c r="E200">
        <v>1.18289156626506</v>
      </c>
      <c r="F200">
        <v>0.01069464249337951</v>
      </c>
      <c r="G200">
        <v>-0.03303442520398769</v>
      </c>
      <c r="H200">
        <v>0.11</v>
      </c>
      <c r="I200">
        <v>0.08393878711508473</v>
      </c>
      <c r="J200" t="s">
        <v>773</v>
      </c>
      <c r="K200" t="s">
        <v>486</v>
      </c>
      <c r="L200">
        <v>3.55</v>
      </c>
      <c r="M200">
        <v>1.05</v>
      </c>
      <c r="N200">
        <v>0.295774647887324</v>
      </c>
      <c r="O200">
        <v>11</v>
      </c>
      <c r="P200">
        <v>0.09986525071768737</v>
      </c>
      <c r="Q200">
        <v>0.138154950331338</v>
      </c>
      <c r="R200" t="s">
        <v>776</v>
      </c>
      <c r="S200" t="s">
        <v>783</v>
      </c>
      <c r="T200">
        <v>10367.71115</v>
      </c>
      <c r="U200" s="2">
        <v>44453</v>
      </c>
      <c r="V200" t="s">
        <v>793</v>
      </c>
    </row>
    <row r="201" spans="1:22">
      <c r="A201" s="1" t="s">
        <v>221</v>
      </c>
      <c r="B201">
        <f>HYPERLINK("https://www.suredividend.com/sure-analysis-IPG/","Interpublic Group Of Cos., Inc.")</f>
        <v>0</v>
      </c>
      <c r="C201">
        <v>38.16</v>
      </c>
      <c r="D201">
        <v>36</v>
      </c>
      <c r="E201">
        <v>1.06</v>
      </c>
      <c r="F201">
        <v>0.02830188679245283</v>
      </c>
      <c r="G201">
        <v>-0.011586139329545</v>
      </c>
      <c r="H201">
        <v>0.07000000000000001</v>
      </c>
      <c r="I201">
        <v>0.08371870392291725</v>
      </c>
      <c r="J201" t="s">
        <v>773</v>
      </c>
      <c r="K201" t="s">
        <v>773</v>
      </c>
      <c r="L201">
        <v>2.26</v>
      </c>
      <c r="M201">
        <v>1.08</v>
      </c>
      <c r="N201">
        <v>0.4778761061946903</v>
      </c>
      <c r="O201">
        <v>10</v>
      </c>
      <c r="P201">
        <v>0.06504410274056371</v>
      </c>
      <c r="Q201">
        <v>1.172084564673789</v>
      </c>
      <c r="R201" t="s">
        <v>776</v>
      </c>
      <c r="S201" t="s">
        <v>780</v>
      </c>
      <c r="T201">
        <v>15044.165</v>
      </c>
      <c r="U201" s="2">
        <v>44399</v>
      </c>
      <c r="V201" t="s">
        <v>791</v>
      </c>
    </row>
    <row r="202" spans="1:22">
      <c r="A202" s="1" t="s">
        <v>222</v>
      </c>
      <c r="B202">
        <f>HYPERLINK("https://www.suredividend.com/sure-analysis-EPD/","Enterprise Products Partners L P")</f>
        <v>0</v>
      </c>
      <c r="C202">
        <v>24.57</v>
      </c>
      <c r="D202">
        <v>23.7</v>
      </c>
      <c r="E202">
        <v>1.036708860759494</v>
      </c>
      <c r="F202">
        <v>0.07326007326007326</v>
      </c>
      <c r="G202">
        <v>-0.007184296347841679</v>
      </c>
      <c r="H202">
        <v>0.028</v>
      </c>
      <c r="I202">
        <v>0.08328794850009325</v>
      </c>
      <c r="J202" t="s">
        <v>773</v>
      </c>
      <c r="K202" t="s">
        <v>772</v>
      </c>
      <c r="L202">
        <v>2.96</v>
      </c>
      <c r="M202">
        <v>1.8</v>
      </c>
      <c r="N202">
        <v>0.6081081081081081</v>
      </c>
      <c r="O202">
        <v>22</v>
      </c>
      <c r="P202">
        <v>0.01613736474159566</v>
      </c>
      <c r="Q202">
        <v>0.5376421130055991</v>
      </c>
      <c r="R202" t="s">
        <v>777</v>
      </c>
      <c r="S202" t="s">
        <v>789</v>
      </c>
      <c r="T202">
        <v>52995.505473</v>
      </c>
      <c r="U202" s="2">
        <v>44413</v>
      </c>
      <c r="V202" t="s">
        <v>800</v>
      </c>
    </row>
    <row r="203" spans="1:22">
      <c r="A203" s="1" t="s">
        <v>223</v>
      </c>
      <c r="B203">
        <f>HYPERLINK("https://www.suredividend.com/sure-analysis-DPZ/","Dominos Pizza Inc")</f>
        <v>0</v>
      </c>
      <c r="C203">
        <v>459.9</v>
      </c>
      <c r="D203">
        <v>370</v>
      </c>
      <c r="E203">
        <v>1.242972972972973</v>
      </c>
      <c r="F203">
        <v>0.00817569036747119</v>
      </c>
      <c r="G203">
        <v>-0.04256860802227014</v>
      </c>
      <c r="H203">
        <v>0.12</v>
      </c>
      <c r="I203">
        <v>0.08169453389065606</v>
      </c>
      <c r="J203" t="s">
        <v>773</v>
      </c>
      <c r="K203" t="s">
        <v>486</v>
      </c>
      <c r="L203">
        <v>13.9</v>
      </c>
      <c r="M203">
        <v>3.76</v>
      </c>
      <c r="N203">
        <v>0.2705035971223022</v>
      </c>
      <c r="O203">
        <v>8</v>
      </c>
      <c r="P203">
        <v>0.1480866941841668</v>
      </c>
      <c r="Q203">
        <v>0.148655882483647</v>
      </c>
      <c r="R203" t="s">
        <v>776</v>
      </c>
      <c r="S203" t="s">
        <v>788</v>
      </c>
      <c r="T203">
        <v>16552.708725</v>
      </c>
      <c r="U203" s="2">
        <v>44486</v>
      </c>
      <c r="V203" t="s">
        <v>796</v>
      </c>
    </row>
    <row r="204" spans="1:22">
      <c r="A204" s="1" t="s">
        <v>224</v>
      </c>
      <c r="B204">
        <f>HYPERLINK("https://www.suredividend.com/sure-analysis-RY/","Royal Bank Of Canada")</f>
        <v>0</v>
      </c>
      <c r="C204">
        <v>105.94</v>
      </c>
      <c r="D204">
        <v>94.92</v>
      </c>
      <c r="E204">
        <v>1.116097766540244</v>
      </c>
      <c r="F204">
        <v>0.03171606569756466</v>
      </c>
      <c r="G204">
        <v>-0.02172816034271952</v>
      </c>
      <c r="H204">
        <v>0.07000000000000001</v>
      </c>
      <c r="I204">
        <v>0.07854831977228094</v>
      </c>
      <c r="J204" t="s">
        <v>773</v>
      </c>
      <c r="K204" t="s">
        <v>773</v>
      </c>
      <c r="L204">
        <v>7.83</v>
      </c>
      <c r="M204">
        <v>3.36</v>
      </c>
      <c r="N204">
        <v>0.4291187739463601</v>
      </c>
      <c r="O204">
        <v>10</v>
      </c>
      <c r="P204">
        <v>0.08317764845110265</v>
      </c>
      <c r="Q204">
        <v>0.488592490573705</v>
      </c>
      <c r="R204" t="s">
        <v>776</v>
      </c>
      <c r="S204" t="s">
        <v>786</v>
      </c>
      <c r="T204">
        <v>150209.3208</v>
      </c>
      <c r="U204" s="2">
        <v>44444</v>
      </c>
      <c r="V204" t="s">
        <v>801</v>
      </c>
    </row>
    <row r="205" spans="1:22">
      <c r="A205" s="1" t="s">
        <v>225</v>
      </c>
      <c r="B205">
        <f>HYPERLINK("https://www.suredividend.com/sure-analysis-ARTNA/","Artesian Resources Corp.")</f>
        <v>0</v>
      </c>
      <c r="C205">
        <v>38.41</v>
      </c>
      <c r="D205">
        <v>44.6</v>
      </c>
      <c r="E205">
        <v>0.8612107623318385</v>
      </c>
      <c r="F205">
        <v>0.02785732882061964</v>
      </c>
      <c r="G205">
        <v>0.03033418732729576</v>
      </c>
      <c r="H205">
        <v>0.023</v>
      </c>
      <c r="I205">
        <v>0.07807370894144494</v>
      </c>
      <c r="J205" t="s">
        <v>773</v>
      </c>
      <c r="K205" t="s">
        <v>773</v>
      </c>
      <c r="L205">
        <v>2.23</v>
      </c>
      <c r="M205">
        <v>1.07</v>
      </c>
      <c r="N205">
        <v>0.4798206278026906</v>
      </c>
      <c r="O205">
        <v>25</v>
      </c>
      <c r="P205">
        <v>0.03649029114773783</v>
      </c>
      <c r="Q205">
        <v>0.084477092596172</v>
      </c>
      <c r="R205" t="s">
        <v>776</v>
      </c>
      <c r="S205" t="s">
        <v>787</v>
      </c>
      <c r="T205">
        <v>334.567873</v>
      </c>
      <c r="U205" s="2">
        <v>44421</v>
      </c>
      <c r="V205" t="s">
        <v>800</v>
      </c>
    </row>
    <row r="206" spans="1:22">
      <c r="A206" s="1" t="s">
        <v>226</v>
      </c>
      <c r="B206">
        <f>HYPERLINK("https://www.suredividend.com/sure-analysis-PBCT/","People`s United Financial Inc")</f>
        <v>0</v>
      </c>
      <c r="C206">
        <v>17.68</v>
      </c>
      <c r="D206">
        <v>18</v>
      </c>
      <c r="E206">
        <v>0.9822222222222222</v>
      </c>
      <c r="F206">
        <v>0.04128959276018099</v>
      </c>
      <c r="G206">
        <v>0.003593983061898065</v>
      </c>
      <c r="H206">
        <v>0.04</v>
      </c>
      <c r="I206">
        <v>0.07766767753586556</v>
      </c>
      <c r="J206" t="s">
        <v>773</v>
      </c>
      <c r="K206" t="s">
        <v>772</v>
      </c>
      <c r="L206">
        <v>1.33</v>
      </c>
      <c r="M206">
        <v>0.73</v>
      </c>
      <c r="N206">
        <v>0.5488721804511277</v>
      </c>
      <c r="O206">
        <v>29</v>
      </c>
      <c r="P206">
        <v>0.01333804570728625</v>
      </c>
      <c r="Q206">
        <v>0.76393338241439</v>
      </c>
      <c r="R206" t="s">
        <v>776</v>
      </c>
      <c r="S206" t="s">
        <v>786</v>
      </c>
      <c r="T206">
        <v>7587.638161</v>
      </c>
      <c r="U206" s="2">
        <v>44393</v>
      </c>
      <c r="V206" t="s">
        <v>796</v>
      </c>
    </row>
    <row r="207" spans="1:22">
      <c r="A207" s="1" t="s">
        <v>227</v>
      </c>
      <c r="B207">
        <f>HYPERLINK("https://www.suredividend.com/sure-analysis-DDS/","Dillard`s Inc.")</f>
        <v>0</v>
      </c>
      <c r="C207">
        <v>222.32</v>
      </c>
      <c r="D207">
        <v>288</v>
      </c>
      <c r="E207">
        <v>0.7719444444444444</v>
      </c>
      <c r="F207">
        <v>0.003598416696653473</v>
      </c>
      <c r="G207">
        <v>0.05313195526249803</v>
      </c>
      <c r="H207">
        <v>0.02</v>
      </c>
      <c r="I207">
        <v>0.07688368363688847</v>
      </c>
      <c r="J207" t="s">
        <v>773</v>
      </c>
      <c r="K207" t="s">
        <v>486</v>
      </c>
      <c r="L207">
        <v>26.2</v>
      </c>
      <c r="M207">
        <v>0.8</v>
      </c>
      <c r="N207">
        <v>0.03053435114503817</v>
      </c>
      <c r="O207">
        <v>11</v>
      </c>
      <c r="P207">
        <v>0</v>
      </c>
      <c r="Q207">
        <v>3.058920968258424</v>
      </c>
      <c r="R207" t="s">
        <v>776</v>
      </c>
      <c r="S207" t="s">
        <v>788</v>
      </c>
      <c r="T207">
        <v>3414.19126</v>
      </c>
      <c r="U207" s="2">
        <v>44434</v>
      </c>
      <c r="V207" t="s">
        <v>794</v>
      </c>
    </row>
    <row r="208" spans="1:22">
      <c r="A208" s="1" t="s">
        <v>228</v>
      </c>
      <c r="B208">
        <f>HYPERLINK("https://www.suredividend.com/sure-analysis-PB/","Prosperity Bancshares Inc.")</f>
        <v>0</v>
      </c>
      <c r="C208">
        <v>73.94</v>
      </c>
      <c r="D208">
        <v>82</v>
      </c>
      <c r="E208">
        <v>0.9017073170731708</v>
      </c>
      <c r="F208">
        <v>0.02650797944279145</v>
      </c>
      <c r="G208">
        <v>0.0209086445668889</v>
      </c>
      <c r="H208">
        <v>0.03</v>
      </c>
      <c r="I208">
        <v>0.07612742523735627</v>
      </c>
      <c r="J208" t="s">
        <v>773</v>
      </c>
      <c r="K208" t="s">
        <v>773</v>
      </c>
      <c r="L208">
        <v>5.75</v>
      </c>
      <c r="M208">
        <v>1.96</v>
      </c>
      <c r="N208">
        <v>0.3408695652173913</v>
      </c>
      <c r="O208">
        <v>17</v>
      </c>
      <c r="P208">
        <v>0.05814078782077714</v>
      </c>
      <c r="Q208">
        <v>0.349397767413494</v>
      </c>
      <c r="R208" t="s">
        <v>776</v>
      </c>
      <c r="S208" t="s">
        <v>786</v>
      </c>
      <c r="T208">
        <v>6826.644338</v>
      </c>
      <c r="U208" s="2">
        <v>44425</v>
      </c>
      <c r="V208" t="s">
        <v>796</v>
      </c>
    </row>
    <row r="209" spans="1:22">
      <c r="A209" s="1" t="s">
        <v>229</v>
      </c>
      <c r="B209">
        <f>HYPERLINK("https://www.suredividend.com/sure-analysis-UVV/","Universal Corp.")</f>
        <v>0</v>
      </c>
      <c r="C209">
        <v>48.53</v>
      </c>
      <c r="D209">
        <v>50</v>
      </c>
      <c r="E209">
        <v>0.9706</v>
      </c>
      <c r="F209">
        <v>0.06429012981660828</v>
      </c>
      <c r="G209">
        <v>0.005986013402234702</v>
      </c>
      <c r="H209">
        <v>0.015</v>
      </c>
      <c r="I209">
        <v>0.07583163049665331</v>
      </c>
      <c r="J209" t="s">
        <v>773</v>
      </c>
      <c r="K209" t="s">
        <v>772</v>
      </c>
      <c r="L209">
        <v>4.5</v>
      </c>
      <c r="M209">
        <v>3.12</v>
      </c>
      <c r="N209">
        <v>0.6933333333333334</v>
      </c>
      <c r="O209">
        <v>50</v>
      </c>
      <c r="P209">
        <v>0.01005227214699711</v>
      </c>
      <c r="Q209">
        <v>0.2302293495431</v>
      </c>
      <c r="R209" t="s">
        <v>776</v>
      </c>
      <c r="S209" t="s">
        <v>785</v>
      </c>
      <c r="T209">
        <v>1209.723254</v>
      </c>
      <c r="U209" s="2">
        <v>44440</v>
      </c>
      <c r="V209" t="s">
        <v>794</v>
      </c>
    </row>
    <row r="210" spans="1:22">
      <c r="A210" s="1" t="s">
        <v>230</v>
      </c>
      <c r="B210">
        <f>HYPERLINK("https://www.suredividend.com/sure-analysis-EQIX/","Equinix Inc")</f>
        <v>0</v>
      </c>
      <c r="C210">
        <v>767.77</v>
      </c>
      <c r="D210">
        <v>638</v>
      </c>
      <c r="E210">
        <v>1.203401253918495</v>
      </c>
      <c r="F210">
        <v>0.01495239459734035</v>
      </c>
      <c r="G210">
        <v>-0.03635314565644676</v>
      </c>
      <c r="H210">
        <v>0.1</v>
      </c>
      <c r="I210">
        <v>0.07546209295119044</v>
      </c>
      <c r="J210" t="s">
        <v>773</v>
      </c>
      <c r="K210" t="s">
        <v>486</v>
      </c>
      <c r="L210">
        <v>27.14</v>
      </c>
      <c r="M210">
        <v>11.48</v>
      </c>
      <c r="N210">
        <v>0.4229918938835667</v>
      </c>
      <c r="O210">
        <v>5</v>
      </c>
      <c r="P210">
        <v>0.1000160063233719</v>
      </c>
      <c r="Q210">
        <v>-0.029607411937049</v>
      </c>
      <c r="R210" t="s">
        <v>778</v>
      </c>
      <c r="S210" t="s">
        <v>790</v>
      </c>
      <c r="T210">
        <v>70129.914248</v>
      </c>
      <c r="U210" s="2">
        <v>44406</v>
      </c>
      <c r="V210" t="s">
        <v>793</v>
      </c>
    </row>
    <row r="211" spans="1:22">
      <c r="A211" s="1" t="s">
        <v>231</v>
      </c>
      <c r="B211">
        <f>HYPERLINK("https://www.suredividend.com/sure-analysis-KMB/","Kimberly-Clark Corp.")</f>
        <v>0</v>
      </c>
      <c r="C211">
        <v>131.53</v>
      </c>
      <c r="D211">
        <v>122</v>
      </c>
      <c r="E211">
        <v>1.078114754098361</v>
      </c>
      <c r="F211">
        <v>0.03466889682962061</v>
      </c>
      <c r="G211">
        <v>-0.01493020608077733</v>
      </c>
      <c r="H211">
        <v>0.06</v>
      </c>
      <c r="I211">
        <v>0.07508015883906327</v>
      </c>
      <c r="J211" t="s">
        <v>773</v>
      </c>
      <c r="K211" t="s">
        <v>772</v>
      </c>
      <c r="L211">
        <v>6.8</v>
      </c>
      <c r="M211">
        <v>4.56</v>
      </c>
      <c r="N211">
        <v>0.6705882352941176</v>
      </c>
      <c r="O211">
        <v>49</v>
      </c>
      <c r="P211">
        <v>0.03932663634209943</v>
      </c>
      <c r="Q211">
        <v>-0.10091796323157</v>
      </c>
      <c r="R211" t="s">
        <v>776</v>
      </c>
      <c r="S211" t="s">
        <v>785</v>
      </c>
      <c r="T211">
        <v>44900.48906</v>
      </c>
      <c r="U211" s="2">
        <v>44403</v>
      </c>
      <c r="V211" t="s">
        <v>795</v>
      </c>
    </row>
    <row r="212" spans="1:22">
      <c r="A212" s="1" t="s">
        <v>232</v>
      </c>
      <c r="B212">
        <f>HYPERLINK("https://www.suredividend.com/sure-analysis-RDEIY/","Red Electrica Corporacion S.A.")</f>
        <v>0</v>
      </c>
      <c r="C212">
        <v>10.17</v>
      </c>
      <c r="D212">
        <v>8.699999999999999</v>
      </c>
      <c r="E212">
        <v>1.168965517241379</v>
      </c>
      <c r="F212">
        <v>0.05899705014749262</v>
      </c>
      <c r="G212">
        <v>-0.03074140702649364</v>
      </c>
      <c r="H212">
        <v>0.05</v>
      </c>
      <c r="I212">
        <v>0.07494630893451393</v>
      </c>
      <c r="J212" t="s">
        <v>773</v>
      </c>
      <c r="K212" t="s">
        <v>772</v>
      </c>
      <c r="L212">
        <v>1.45</v>
      </c>
      <c r="M212">
        <v>0.6</v>
      </c>
      <c r="N212">
        <v>0.4137931034482759</v>
      </c>
      <c r="O212">
        <v>4</v>
      </c>
      <c r="P212">
        <v>0.05115774595007161</v>
      </c>
      <c r="Q212">
        <v>0.08156779661016901</v>
      </c>
      <c r="R212" t="s">
        <v>776</v>
      </c>
      <c r="S212" t="s">
        <v>787</v>
      </c>
      <c r="T212">
        <v>11048.8536</v>
      </c>
      <c r="U212" s="2">
        <v>44405</v>
      </c>
      <c r="V212" t="s">
        <v>792</v>
      </c>
    </row>
    <row r="213" spans="1:22">
      <c r="A213" s="1" t="s">
        <v>233</v>
      </c>
      <c r="B213">
        <f>HYPERLINK("https://www.suredividend.com/sure-analysis-UHT/","Universal Health Realty Income Trust")</f>
        <v>0</v>
      </c>
      <c r="C213">
        <v>56.9</v>
      </c>
      <c r="D213">
        <v>58</v>
      </c>
      <c r="E213">
        <v>0.9810344827586207</v>
      </c>
      <c r="F213">
        <v>0.0492091388400703</v>
      </c>
      <c r="G213">
        <v>0.003836875916904514</v>
      </c>
      <c r="H213">
        <v>0.03</v>
      </c>
      <c r="I213">
        <v>0.07475925858155485</v>
      </c>
      <c r="J213" t="s">
        <v>773</v>
      </c>
      <c r="K213" t="s">
        <v>772</v>
      </c>
      <c r="L213">
        <v>3.35</v>
      </c>
      <c r="M213">
        <v>2.8</v>
      </c>
      <c r="N213">
        <v>0.835820895522388</v>
      </c>
      <c r="O213">
        <v>36</v>
      </c>
      <c r="P213">
        <v>0.008428158438618549</v>
      </c>
      <c r="Q213">
        <v>0.07767465875842301</v>
      </c>
      <c r="R213" t="s">
        <v>778</v>
      </c>
      <c r="S213" t="s">
        <v>790</v>
      </c>
      <c r="T213">
        <v>784.734942</v>
      </c>
      <c r="U213" s="2">
        <v>44411</v>
      </c>
      <c r="V213" t="s">
        <v>800</v>
      </c>
    </row>
    <row r="214" spans="1:22">
      <c r="A214" s="1" t="s">
        <v>234</v>
      </c>
      <c r="B214">
        <f>HYPERLINK("https://www.suredividend.com/sure-analysis-HII/","Huntington Ingalls Industries Inc")</f>
        <v>0</v>
      </c>
      <c r="C214">
        <v>207.45</v>
      </c>
      <c r="D214">
        <v>209</v>
      </c>
      <c r="E214">
        <v>0.9925837320574162</v>
      </c>
      <c r="F214">
        <v>0.02198120028922632</v>
      </c>
      <c r="G214">
        <v>0.001489889821852719</v>
      </c>
      <c r="H214">
        <v>0.05</v>
      </c>
      <c r="I214">
        <v>0.07466358231196657</v>
      </c>
      <c r="J214" t="s">
        <v>773</v>
      </c>
      <c r="K214" t="s">
        <v>773</v>
      </c>
      <c r="L214">
        <v>14.95</v>
      </c>
      <c r="M214">
        <v>4.56</v>
      </c>
      <c r="N214">
        <v>0.3050167224080267</v>
      </c>
      <c r="O214">
        <v>9</v>
      </c>
      <c r="P214">
        <v>0.09988237670646449</v>
      </c>
      <c r="Q214">
        <v>0.4565299964783681</v>
      </c>
      <c r="R214" t="s">
        <v>776</v>
      </c>
      <c r="S214" t="s">
        <v>783</v>
      </c>
      <c r="T214">
        <v>8450.416375000001</v>
      </c>
      <c r="U214" s="2">
        <v>44424</v>
      </c>
      <c r="V214" t="s">
        <v>799</v>
      </c>
    </row>
    <row r="215" spans="1:22">
      <c r="A215" s="1" t="s">
        <v>235</v>
      </c>
      <c r="B215">
        <f>HYPERLINK("https://www.suredividend.com/sure-analysis-CM/","Canadian Imperial Bank Of Commerce")</f>
        <v>0</v>
      </c>
      <c r="C215">
        <v>119.43</v>
      </c>
      <c r="D215">
        <v>113</v>
      </c>
      <c r="E215">
        <v>1.056902654867257</v>
      </c>
      <c r="F215">
        <v>0.0387674788579084</v>
      </c>
      <c r="G215">
        <v>-0.0110074906914307</v>
      </c>
      <c r="H215">
        <v>0.05</v>
      </c>
      <c r="I215">
        <v>0.07453282294064745</v>
      </c>
      <c r="J215" t="s">
        <v>773</v>
      </c>
      <c r="K215" t="s">
        <v>772</v>
      </c>
      <c r="L215">
        <v>11.3</v>
      </c>
      <c r="M215">
        <v>4.63</v>
      </c>
      <c r="N215">
        <v>0.4097345132743362</v>
      </c>
      <c r="O215">
        <v>10</v>
      </c>
      <c r="P215">
        <v>0.05002901032002183</v>
      </c>
      <c r="Q215">
        <v>0.63393722140233</v>
      </c>
      <c r="R215" t="s">
        <v>776</v>
      </c>
      <c r="S215" t="s">
        <v>786</v>
      </c>
      <c r="T215">
        <v>53696.626963</v>
      </c>
      <c r="U215" s="2">
        <v>44442</v>
      </c>
      <c r="V215" t="s">
        <v>801</v>
      </c>
    </row>
    <row r="216" spans="1:22">
      <c r="A216" s="1" t="s">
        <v>236</v>
      </c>
      <c r="B216">
        <f>HYPERLINK("https://www.suredividend.com/sure-analysis-CVS/","CVS Health Corp")</f>
        <v>0</v>
      </c>
      <c r="C216">
        <v>84.48</v>
      </c>
      <c r="D216">
        <v>85</v>
      </c>
      <c r="E216">
        <v>0.9938823529411766</v>
      </c>
      <c r="F216">
        <v>0.02367424242424242</v>
      </c>
      <c r="G216">
        <v>0.001228040731730884</v>
      </c>
      <c r="H216">
        <v>0.05</v>
      </c>
      <c r="I216">
        <v>0.07286170778160805</v>
      </c>
      <c r="J216" t="s">
        <v>773</v>
      </c>
      <c r="K216" t="s">
        <v>773</v>
      </c>
      <c r="L216">
        <v>7.75</v>
      </c>
      <c r="M216">
        <v>2</v>
      </c>
      <c r="N216">
        <v>0.2580645161290323</v>
      </c>
      <c r="O216">
        <v>0</v>
      </c>
      <c r="P216">
        <v>0.04978904632428516</v>
      </c>
      <c r="Q216">
        <v>0.480960070666501</v>
      </c>
      <c r="R216" t="s">
        <v>776</v>
      </c>
      <c r="S216" t="s">
        <v>781</v>
      </c>
      <c r="T216">
        <v>113272.296025</v>
      </c>
      <c r="U216" s="2">
        <v>44415</v>
      </c>
      <c r="V216" t="s">
        <v>792</v>
      </c>
    </row>
    <row r="217" spans="1:22">
      <c r="A217" s="1" t="s">
        <v>237</v>
      </c>
      <c r="B217">
        <f>HYPERLINK("https://www.suredividend.com/sure-analysis-NTIOF/","National Bank of Canada")</f>
        <v>0</v>
      </c>
      <c r="C217">
        <v>82.78</v>
      </c>
      <c r="D217">
        <v>77</v>
      </c>
      <c r="E217">
        <v>1.075064935064935</v>
      </c>
      <c r="F217">
        <v>0.02705967625030201</v>
      </c>
      <c r="G217">
        <v>-0.01437193630662437</v>
      </c>
      <c r="H217">
        <v>0.06</v>
      </c>
      <c r="I217">
        <v>0.07207308744064433</v>
      </c>
      <c r="J217" t="s">
        <v>773</v>
      </c>
      <c r="K217" t="s">
        <v>773</v>
      </c>
      <c r="L217">
        <v>6.73</v>
      </c>
      <c r="M217">
        <v>2.24</v>
      </c>
      <c r="N217">
        <v>0.3328380386329866</v>
      </c>
      <c r="O217">
        <v>9</v>
      </c>
      <c r="P217">
        <v>0.0799150058822331</v>
      </c>
      <c r="Q217">
        <v>0.6340956340956341</v>
      </c>
      <c r="R217" t="s">
        <v>776</v>
      </c>
      <c r="S217" t="s">
        <v>786</v>
      </c>
      <c r="T217">
        <v>27864.344756</v>
      </c>
      <c r="U217" s="2">
        <v>44436</v>
      </c>
      <c r="V217" t="s">
        <v>801</v>
      </c>
    </row>
    <row r="218" spans="1:22">
      <c r="A218" s="1" t="s">
        <v>238</v>
      </c>
      <c r="B218">
        <f>HYPERLINK("https://www.suredividend.com/sure-analysis-AEP/","American Electric Power Company Inc.")</f>
        <v>0</v>
      </c>
      <c r="C218">
        <v>82.98999999999999</v>
      </c>
      <c r="D218">
        <v>79.40000000000001</v>
      </c>
      <c r="E218">
        <v>1.045214105793451</v>
      </c>
      <c r="F218">
        <v>0.03566694782503917</v>
      </c>
      <c r="G218">
        <v>-0.008805353857432308</v>
      </c>
      <c r="H218">
        <v>0.05</v>
      </c>
      <c r="I218">
        <v>0.07200093912416028</v>
      </c>
      <c r="J218" t="s">
        <v>773</v>
      </c>
      <c r="K218" t="s">
        <v>773</v>
      </c>
      <c r="L218">
        <v>4.67</v>
      </c>
      <c r="M218">
        <v>2.96</v>
      </c>
      <c r="N218">
        <v>0.6338329764453962</v>
      </c>
      <c r="O218">
        <v>16</v>
      </c>
      <c r="P218">
        <v>0.02931162806503518</v>
      </c>
      <c r="Q218">
        <v>-0.056092887062401</v>
      </c>
      <c r="R218" t="s">
        <v>776</v>
      </c>
      <c r="S218" t="s">
        <v>787</v>
      </c>
      <c r="T218">
        <v>41765.984293</v>
      </c>
      <c r="U218" s="2">
        <v>44415</v>
      </c>
      <c r="V218" t="s">
        <v>800</v>
      </c>
    </row>
    <row r="219" spans="1:22">
      <c r="A219" s="1" t="s">
        <v>239</v>
      </c>
      <c r="B219">
        <f>HYPERLINK("https://www.suredividend.com/sure-analysis-RBA/","Ritchie Bros Auctioneers Inc")</f>
        <v>0</v>
      </c>
      <c r="C219">
        <v>67.38</v>
      </c>
      <c r="D219">
        <v>55</v>
      </c>
      <c r="E219">
        <v>1.225090909090909</v>
      </c>
      <c r="F219">
        <v>0.01484119916889285</v>
      </c>
      <c r="G219">
        <v>-0.03978975236818427</v>
      </c>
      <c r="H219">
        <v>0.1</v>
      </c>
      <c r="I219">
        <v>0.07177929629196478</v>
      </c>
      <c r="J219" t="s">
        <v>773</v>
      </c>
      <c r="K219" t="s">
        <v>486</v>
      </c>
      <c r="L219">
        <v>1.68</v>
      </c>
      <c r="M219">
        <v>1</v>
      </c>
      <c r="N219">
        <v>0.5952380952380952</v>
      </c>
      <c r="O219">
        <v>17</v>
      </c>
      <c r="P219">
        <v>0.09993032380125255</v>
      </c>
      <c r="Q219">
        <v>0.054361351482279</v>
      </c>
      <c r="R219" t="s">
        <v>776</v>
      </c>
      <c r="S219" t="s">
        <v>783</v>
      </c>
      <c r="T219">
        <v>7354.405832</v>
      </c>
      <c r="U219" s="2">
        <v>44416</v>
      </c>
      <c r="V219" t="s">
        <v>791</v>
      </c>
    </row>
    <row r="220" spans="1:22">
      <c r="A220" s="1" t="s">
        <v>240</v>
      </c>
      <c r="B220">
        <f>HYPERLINK("https://www.suredividend.com/sure-analysis-LNT/","Alliant Energy Corp.")</f>
        <v>0</v>
      </c>
      <c r="C220">
        <v>55.33</v>
      </c>
      <c r="D220">
        <v>51</v>
      </c>
      <c r="E220">
        <v>1.084901960784314</v>
      </c>
      <c r="F220">
        <v>0.02909813844207483</v>
      </c>
      <c r="G220">
        <v>-0.0161658322454219</v>
      </c>
      <c r="H220">
        <v>0.06</v>
      </c>
      <c r="I220">
        <v>0.07069933601664591</v>
      </c>
      <c r="J220" t="s">
        <v>773</v>
      </c>
      <c r="K220" t="s">
        <v>773</v>
      </c>
      <c r="L220">
        <v>2.57</v>
      </c>
      <c r="M220">
        <v>1.61</v>
      </c>
      <c r="N220">
        <v>0.6264591439688717</v>
      </c>
      <c r="O220">
        <v>18</v>
      </c>
      <c r="P220">
        <v>0.05955258842469102</v>
      </c>
      <c r="Q220">
        <v>0.046166775153867</v>
      </c>
      <c r="R220" t="s">
        <v>776</v>
      </c>
      <c r="S220" t="s">
        <v>787</v>
      </c>
      <c r="T220">
        <v>13956.880629</v>
      </c>
      <c r="U220" s="2">
        <v>44436</v>
      </c>
      <c r="V220" t="s">
        <v>798</v>
      </c>
    </row>
    <row r="221" spans="1:22">
      <c r="A221" s="1" t="s">
        <v>241</v>
      </c>
      <c r="B221">
        <f>HYPERLINK("https://www.suredividend.com/sure-analysis-CONE/","CyrusOne Inc")</f>
        <v>0</v>
      </c>
      <c r="C221">
        <v>77.09</v>
      </c>
      <c r="D221">
        <v>72</v>
      </c>
      <c r="E221">
        <v>1.070694444444444</v>
      </c>
      <c r="F221">
        <v>0.02698145025295109</v>
      </c>
      <c r="G221">
        <v>-0.01356859564015278</v>
      </c>
      <c r="H221">
        <v>0.06</v>
      </c>
      <c r="I221">
        <v>0.06954980854019155</v>
      </c>
      <c r="J221" t="s">
        <v>773</v>
      </c>
      <c r="K221" t="s">
        <v>378</v>
      </c>
      <c r="L221">
        <v>4</v>
      </c>
      <c r="M221">
        <v>2.08</v>
      </c>
      <c r="N221">
        <v>0.52</v>
      </c>
      <c r="O221">
        <v>8</v>
      </c>
      <c r="P221">
        <v>0.03496752704080697</v>
      </c>
      <c r="Q221">
        <v>0.03904442155669401</v>
      </c>
      <c r="R221" t="s">
        <v>778</v>
      </c>
      <c r="S221" t="s">
        <v>790</v>
      </c>
      <c r="T221">
        <v>9633.757079999999</v>
      </c>
      <c r="U221" s="2">
        <v>44406</v>
      </c>
      <c r="V221" t="s">
        <v>791</v>
      </c>
    </row>
    <row r="222" spans="1:22">
      <c r="A222" s="1" t="s">
        <v>242</v>
      </c>
      <c r="B222">
        <f>HYPERLINK("https://www.suredividend.com/sure-analysis-CSCO/","Cisco Systems, Inc.")</f>
        <v>0</v>
      </c>
      <c r="C222">
        <v>55.19</v>
      </c>
      <c r="D222">
        <v>51</v>
      </c>
      <c r="E222">
        <v>1.082156862745098</v>
      </c>
      <c r="F222">
        <v>0.02681645225584345</v>
      </c>
      <c r="G222">
        <v>-0.0156672011980018</v>
      </c>
      <c r="H222">
        <v>0.06</v>
      </c>
      <c r="I222">
        <v>0.06912647410248796</v>
      </c>
      <c r="J222" t="s">
        <v>773</v>
      </c>
      <c r="K222" t="s">
        <v>773</v>
      </c>
      <c r="L222">
        <v>3.42</v>
      </c>
      <c r="M222">
        <v>1.48</v>
      </c>
      <c r="N222">
        <v>0.4327485380116959</v>
      </c>
      <c r="O222">
        <v>11</v>
      </c>
      <c r="P222">
        <v>0.05993856763806171</v>
      </c>
      <c r="Q222">
        <v>0.416089337936584</v>
      </c>
      <c r="R222" t="s">
        <v>776</v>
      </c>
      <c r="S222" t="s">
        <v>784</v>
      </c>
      <c r="T222">
        <v>233029.909414</v>
      </c>
      <c r="U222" s="2">
        <v>44428</v>
      </c>
      <c r="V222" t="s">
        <v>792</v>
      </c>
    </row>
    <row r="223" spans="1:22">
      <c r="A223" s="1" t="s">
        <v>243</v>
      </c>
      <c r="B223">
        <f>HYPERLINK("https://www.suredividend.com/sure-analysis-ORI/","Old Republic International Corp.")</f>
        <v>0</v>
      </c>
      <c r="C223">
        <v>24.46</v>
      </c>
      <c r="D223">
        <v>29</v>
      </c>
      <c r="E223">
        <v>0.8434482758620689</v>
      </c>
      <c r="F223">
        <v>0.03597710547833197</v>
      </c>
      <c r="G223">
        <v>0.03463772360892881</v>
      </c>
      <c r="H223">
        <v>0</v>
      </c>
      <c r="I223">
        <v>0.06868968271659504</v>
      </c>
      <c r="J223" t="s">
        <v>773</v>
      </c>
      <c r="K223" t="s">
        <v>773</v>
      </c>
      <c r="L223">
        <v>2.4</v>
      </c>
      <c r="M223">
        <v>0.88</v>
      </c>
      <c r="N223">
        <v>0.3666666666666667</v>
      </c>
      <c r="O223">
        <v>40</v>
      </c>
      <c r="P223">
        <v>0.04941452284458392</v>
      </c>
      <c r="Q223">
        <v>0.80623973727422</v>
      </c>
      <c r="R223" t="s">
        <v>776</v>
      </c>
      <c r="S223" t="s">
        <v>786</v>
      </c>
      <c r="T223">
        <v>7533.393979</v>
      </c>
      <c r="U223" s="2">
        <v>44401</v>
      </c>
      <c r="V223" t="s">
        <v>795</v>
      </c>
    </row>
    <row r="224" spans="1:22">
      <c r="A224" s="1" t="s">
        <v>244</v>
      </c>
      <c r="B224">
        <f>HYPERLINK("https://www.suredividend.com/sure-analysis-RELX/","RELX Plc")</f>
        <v>0</v>
      </c>
      <c r="C224">
        <v>30.26</v>
      </c>
      <c r="D224">
        <v>28.6</v>
      </c>
      <c r="E224">
        <v>1.058041958041958</v>
      </c>
      <c r="F224">
        <v>0.02148050231328487</v>
      </c>
      <c r="G224">
        <v>-0.01122057258887876</v>
      </c>
      <c r="H224">
        <v>0.06</v>
      </c>
      <c r="I224">
        <v>0.06856627662882553</v>
      </c>
      <c r="J224" t="s">
        <v>773</v>
      </c>
      <c r="K224" t="s">
        <v>378</v>
      </c>
      <c r="L224">
        <v>1.19</v>
      </c>
      <c r="M224">
        <v>0.65</v>
      </c>
      <c r="N224">
        <v>0.546218487394958</v>
      </c>
      <c r="O224">
        <v>10</v>
      </c>
      <c r="P224">
        <v>0.06003737798448272</v>
      </c>
      <c r="Q224">
        <v>0.401400005577711</v>
      </c>
      <c r="R224" t="s">
        <v>776</v>
      </c>
      <c r="S224" t="s">
        <v>780</v>
      </c>
      <c r="T224">
        <v>58303.770822</v>
      </c>
      <c r="U224" s="2">
        <v>44411</v>
      </c>
      <c r="V224" t="s">
        <v>791</v>
      </c>
    </row>
    <row r="225" spans="1:22">
      <c r="A225" s="1" t="s">
        <v>245</v>
      </c>
      <c r="B225">
        <f>HYPERLINK("https://www.suredividend.com/sure-analysis-MTB/","M &amp; T Bank Corp")</f>
        <v>0</v>
      </c>
      <c r="C225">
        <v>150.84</v>
      </c>
      <c r="D225">
        <v>140</v>
      </c>
      <c r="E225">
        <v>1.077428571428571</v>
      </c>
      <c r="F225">
        <v>0.02916998143728454</v>
      </c>
      <c r="G225">
        <v>-0.0148047656180279</v>
      </c>
      <c r="H225">
        <v>0.057</v>
      </c>
      <c r="I225">
        <v>0.0673133164494093</v>
      </c>
      <c r="J225" t="s">
        <v>773</v>
      </c>
      <c r="K225" t="s">
        <v>773</v>
      </c>
      <c r="L225">
        <v>14</v>
      </c>
      <c r="M225">
        <v>4.4</v>
      </c>
      <c r="N225">
        <v>0.3142857142857143</v>
      </c>
      <c r="O225">
        <v>4</v>
      </c>
      <c r="P225">
        <v>0.03197912046824536</v>
      </c>
      <c r="Q225">
        <v>0.557190401121036</v>
      </c>
      <c r="R225" t="s">
        <v>776</v>
      </c>
      <c r="S225" t="s">
        <v>786</v>
      </c>
      <c r="T225">
        <v>19447.079843</v>
      </c>
      <c r="U225" s="2">
        <v>44398</v>
      </c>
      <c r="V225" t="s">
        <v>792</v>
      </c>
    </row>
    <row r="226" spans="1:22">
      <c r="A226" s="1" t="s">
        <v>246</v>
      </c>
      <c r="B226">
        <f>HYPERLINK("https://www.suredividend.com/sure-analysis-OTTR/","Otter Tail Corporation")</f>
        <v>0</v>
      </c>
      <c r="C226">
        <v>58.24</v>
      </c>
      <c r="D226">
        <v>65.2</v>
      </c>
      <c r="E226">
        <v>0.8932515337423312</v>
      </c>
      <c r="F226">
        <v>0.02678571428571428</v>
      </c>
      <c r="G226">
        <v>0.02283421177359113</v>
      </c>
      <c r="H226">
        <v>0.02</v>
      </c>
      <c r="I226">
        <v>0.06701096490212177</v>
      </c>
      <c r="J226" t="s">
        <v>773</v>
      </c>
      <c r="K226" t="s">
        <v>773</v>
      </c>
      <c r="L226">
        <v>3.26</v>
      </c>
      <c r="M226">
        <v>1.56</v>
      </c>
      <c r="N226">
        <v>0.4785276073619633</v>
      </c>
      <c r="O226">
        <v>8</v>
      </c>
      <c r="P226">
        <v>0.03131030647754507</v>
      </c>
      <c r="Q226">
        <v>0.5543158427310371</v>
      </c>
      <c r="R226" t="s">
        <v>776</v>
      </c>
      <c r="S226" t="s">
        <v>787</v>
      </c>
      <c r="T226">
        <v>2424.650926</v>
      </c>
      <c r="U226" s="2">
        <v>44420</v>
      </c>
      <c r="V226" t="s">
        <v>800</v>
      </c>
    </row>
    <row r="227" spans="1:22">
      <c r="A227" s="1" t="s">
        <v>247</v>
      </c>
      <c r="B227">
        <f>HYPERLINK("https://www.suredividend.com/sure-analysis-YORW/","York Water Co.")</f>
        <v>0</v>
      </c>
      <c r="C227">
        <v>46.6</v>
      </c>
      <c r="D227">
        <v>45</v>
      </c>
      <c r="E227">
        <v>1.035555555555556</v>
      </c>
      <c r="F227">
        <v>0.01609442060085837</v>
      </c>
      <c r="G227">
        <v>-0.006963253688056281</v>
      </c>
      <c r="H227">
        <v>0.06</v>
      </c>
      <c r="I227">
        <v>0.06696687113885158</v>
      </c>
      <c r="J227" t="s">
        <v>773</v>
      </c>
      <c r="K227" t="s">
        <v>378</v>
      </c>
      <c r="L227">
        <v>1.29</v>
      </c>
      <c r="M227">
        <v>0.75</v>
      </c>
      <c r="N227">
        <v>0.5813953488372093</v>
      </c>
      <c r="O227">
        <v>24</v>
      </c>
      <c r="P227">
        <v>0.03943186329943948</v>
      </c>
      <c r="Q227">
        <v>0.037191893987928</v>
      </c>
      <c r="R227" t="s">
        <v>776</v>
      </c>
      <c r="S227" t="s">
        <v>787</v>
      </c>
      <c r="T227">
        <v>604.130722</v>
      </c>
      <c r="U227" s="2">
        <v>44416</v>
      </c>
      <c r="V227" t="s">
        <v>791</v>
      </c>
    </row>
    <row r="228" spans="1:22">
      <c r="A228" s="1" t="s">
        <v>248</v>
      </c>
      <c r="B228">
        <f>HYPERLINK("https://www.suredividend.com/sure-analysis-SPTN/","SpartanNash Co")</f>
        <v>0</v>
      </c>
      <c r="C228">
        <v>22.73</v>
      </c>
      <c r="D228">
        <v>21</v>
      </c>
      <c r="E228">
        <v>1.082380952380952</v>
      </c>
      <c r="F228">
        <v>0.03519577650681918</v>
      </c>
      <c r="G228">
        <v>-0.01570796264103136</v>
      </c>
      <c r="H228">
        <v>0.05</v>
      </c>
      <c r="I228">
        <v>0.06606995088897594</v>
      </c>
      <c r="J228" t="s">
        <v>773</v>
      </c>
      <c r="K228" t="s">
        <v>773</v>
      </c>
      <c r="L228">
        <v>1.78</v>
      </c>
      <c r="M228">
        <v>0.8</v>
      </c>
      <c r="N228">
        <v>0.4494382022471911</v>
      </c>
      <c r="O228">
        <v>10</v>
      </c>
      <c r="P228">
        <v>0.03928904495613805</v>
      </c>
      <c r="Q228">
        <v>0.127137739629183</v>
      </c>
      <c r="R228" t="s">
        <v>776</v>
      </c>
      <c r="S228" t="s">
        <v>785</v>
      </c>
      <c r="T228">
        <v>810.766897</v>
      </c>
      <c r="U228" s="2">
        <v>44434</v>
      </c>
      <c r="V228" t="s">
        <v>793</v>
      </c>
    </row>
    <row r="229" spans="1:22">
      <c r="A229" s="1" t="s">
        <v>249</v>
      </c>
      <c r="B229">
        <f>HYPERLINK("https://www.suredividend.com/sure-analysis-K/","Kellogg Co")</f>
        <v>0</v>
      </c>
      <c r="C229">
        <v>61.48</v>
      </c>
      <c r="D229">
        <v>62</v>
      </c>
      <c r="E229">
        <v>0.9916129032258064</v>
      </c>
      <c r="F229">
        <v>0.03773584905660377</v>
      </c>
      <c r="G229">
        <v>0.001685912830701408</v>
      </c>
      <c r="H229">
        <v>0.03</v>
      </c>
      <c r="I229">
        <v>0.0658336024700068</v>
      </c>
      <c r="J229" t="s">
        <v>773</v>
      </c>
      <c r="K229" t="s">
        <v>772</v>
      </c>
      <c r="L229">
        <v>4.1</v>
      </c>
      <c r="M229">
        <v>2.32</v>
      </c>
      <c r="N229">
        <v>0.5658536585365854</v>
      </c>
      <c r="O229">
        <v>17</v>
      </c>
      <c r="P229">
        <v>0.03003707999335203</v>
      </c>
      <c r="Q229">
        <v>-0.04436828397681301</v>
      </c>
      <c r="R229" t="s">
        <v>776</v>
      </c>
      <c r="S229" t="s">
        <v>785</v>
      </c>
      <c r="T229">
        <v>21062.910568</v>
      </c>
      <c r="U229" s="2">
        <v>44436</v>
      </c>
      <c r="V229" t="s">
        <v>795</v>
      </c>
    </row>
    <row r="230" spans="1:22">
      <c r="A230" s="1" t="s">
        <v>250</v>
      </c>
      <c r="B230">
        <f>HYPERLINK("https://www.suredividend.com/sure-analysis-SNA/","Snap-on, Inc.")</f>
        <v>0</v>
      </c>
      <c r="C230">
        <v>222.6</v>
      </c>
      <c r="D230">
        <v>226</v>
      </c>
      <c r="E230">
        <v>0.9849557522123894</v>
      </c>
      <c r="F230">
        <v>0.02210242587601078</v>
      </c>
      <c r="G230">
        <v>0.003036312372995287</v>
      </c>
      <c r="H230">
        <v>0.04</v>
      </c>
      <c r="I230">
        <v>0.06580717698396699</v>
      </c>
      <c r="J230" t="s">
        <v>773</v>
      </c>
      <c r="K230" t="s">
        <v>773</v>
      </c>
      <c r="L230">
        <v>14.1</v>
      </c>
      <c r="M230">
        <v>4.92</v>
      </c>
      <c r="N230">
        <v>0.348936170212766</v>
      </c>
      <c r="O230">
        <v>11</v>
      </c>
      <c r="P230">
        <v>0.08002706513606084</v>
      </c>
      <c r="Q230">
        <v>0.410612709352123</v>
      </c>
      <c r="R230" t="s">
        <v>776</v>
      </c>
      <c r="S230" t="s">
        <v>783</v>
      </c>
      <c r="T230">
        <v>11828.716677</v>
      </c>
      <c r="U230" s="2">
        <v>44402</v>
      </c>
      <c r="V230" t="s">
        <v>795</v>
      </c>
    </row>
    <row r="231" spans="1:22">
      <c r="A231" s="1" t="s">
        <v>251</v>
      </c>
      <c r="B231">
        <f>HYPERLINK("https://www.suredividend.com/sure-analysis-MET/","Metlife Inc")</f>
        <v>0</v>
      </c>
      <c r="C231">
        <v>65.2</v>
      </c>
      <c r="D231">
        <v>68</v>
      </c>
      <c r="E231">
        <v>0.9588235294117647</v>
      </c>
      <c r="F231">
        <v>0.02944785276073619</v>
      </c>
      <c r="G231">
        <v>0.008445107665621787</v>
      </c>
      <c r="H231">
        <v>0.03</v>
      </c>
      <c r="I231">
        <v>0.06578040943523322</v>
      </c>
      <c r="J231" t="s">
        <v>773</v>
      </c>
      <c r="K231" t="s">
        <v>773</v>
      </c>
      <c r="L231">
        <v>7.5</v>
      </c>
      <c r="M231">
        <v>1.92</v>
      </c>
      <c r="N231">
        <v>0.256</v>
      </c>
      <c r="O231">
        <v>9</v>
      </c>
      <c r="P231">
        <v>0.0403582746309219</v>
      </c>
      <c r="Q231">
        <v>0.7316966242875921</v>
      </c>
      <c r="R231" t="s">
        <v>776</v>
      </c>
      <c r="S231" t="s">
        <v>786</v>
      </c>
      <c r="T231">
        <v>56186.766518</v>
      </c>
      <c r="U231" s="2">
        <v>44417</v>
      </c>
      <c r="V231" t="s">
        <v>797</v>
      </c>
    </row>
    <row r="232" spans="1:22">
      <c r="A232" s="1" t="s">
        <v>252</v>
      </c>
      <c r="B232">
        <f>HYPERLINK("https://www.suredividend.com/sure-analysis-UPS/","United Parcel Service, Inc.")</f>
        <v>0</v>
      </c>
      <c r="C232">
        <v>193.39</v>
      </c>
      <c r="D232">
        <v>187</v>
      </c>
      <c r="E232">
        <v>1.034171122994652</v>
      </c>
      <c r="F232">
        <v>0.02109726459486013</v>
      </c>
      <c r="G232">
        <v>-0.006697522650189303</v>
      </c>
      <c r="H232">
        <v>0.05</v>
      </c>
      <c r="I232">
        <v>0.06363409515336671</v>
      </c>
      <c r="J232" t="s">
        <v>773</v>
      </c>
      <c r="K232" t="s">
        <v>378</v>
      </c>
      <c r="L232">
        <v>11</v>
      </c>
      <c r="M232">
        <v>4.08</v>
      </c>
      <c r="N232">
        <v>0.3709090909090909</v>
      </c>
      <c r="O232">
        <v>12</v>
      </c>
      <c r="P232">
        <v>0.06308972429112014</v>
      </c>
      <c r="Q232">
        <v>0.135902613132969</v>
      </c>
      <c r="R232" t="s">
        <v>776</v>
      </c>
      <c r="S232" t="s">
        <v>783</v>
      </c>
      <c r="T232">
        <v>167477.5</v>
      </c>
      <c r="U232" s="2">
        <v>44406</v>
      </c>
      <c r="V232" t="s">
        <v>797</v>
      </c>
    </row>
    <row r="233" spans="1:22">
      <c r="A233" s="1" t="s">
        <v>253</v>
      </c>
      <c r="B233">
        <f>HYPERLINK("https://www.suredividend.com/sure-analysis-TXN/","Texas Instruments Inc.")</f>
        <v>0</v>
      </c>
      <c r="C233">
        <v>194.91</v>
      </c>
      <c r="D233">
        <v>160</v>
      </c>
      <c r="E233">
        <v>1.2181875</v>
      </c>
      <c r="F233">
        <v>0.02360063619106254</v>
      </c>
      <c r="G233">
        <v>-0.03870391801527584</v>
      </c>
      <c r="H233">
        <v>0.08</v>
      </c>
      <c r="I233">
        <v>0.06345010608031321</v>
      </c>
      <c r="J233" t="s">
        <v>773</v>
      </c>
      <c r="K233" t="s">
        <v>378</v>
      </c>
      <c r="L233">
        <v>8</v>
      </c>
      <c r="M233">
        <v>4.6</v>
      </c>
      <c r="N233">
        <v>0.575</v>
      </c>
      <c r="O233">
        <v>18</v>
      </c>
      <c r="P233">
        <v>0.09007175117662958</v>
      </c>
      <c r="Q233">
        <v>0.301117107230918</v>
      </c>
      <c r="R233" t="s">
        <v>776</v>
      </c>
      <c r="S233" t="s">
        <v>784</v>
      </c>
      <c r="T233">
        <v>179518.178861</v>
      </c>
      <c r="U233" s="2">
        <v>44408</v>
      </c>
      <c r="V233" t="s">
        <v>794</v>
      </c>
    </row>
    <row r="234" spans="1:22">
      <c r="A234" s="1" t="s">
        <v>254</v>
      </c>
      <c r="B234">
        <f>HYPERLINK("https://www.suredividend.com/sure-analysis-NEP/","NextEra Energy Partners LP")</f>
        <v>0</v>
      </c>
      <c r="C234">
        <v>78.13</v>
      </c>
      <c r="D234">
        <v>72.8</v>
      </c>
      <c r="E234">
        <v>1.073214285714286</v>
      </c>
      <c r="F234">
        <v>0.03391782925892743</v>
      </c>
      <c r="G234">
        <v>-0.01403224737341646</v>
      </c>
      <c r="H234">
        <v>0.039</v>
      </c>
      <c r="I234">
        <v>0.06135518539249984</v>
      </c>
      <c r="J234" t="s">
        <v>773</v>
      </c>
      <c r="K234" t="s">
        <v>773</v>
      </c>
      <c r="L234">
        <v>6.62</v>
      </c>
      <c r="M234">
        <v>2.65</v>
      </c>
      <c r="N234">
        <v>0.4003021148036254</v>
      </c>
      <c r="O234">
        <v>7</v>
      </c>
      <c r="P234">
        <v>0.08583246778943243</v>
      </c>
      <c r="Q234">
        <v>0.232890285503984</v>
      </c>
      <c r="R234" t="s">
        <v>777</v>
      </c>
      <c r="S234" t="s">
        <v>787</v>
      </c>
      <c r="T234">
        <v>6006.195001</v>
      </c>
      <c r="U234" s="2">
        <v>44415</v>
      </c>
      <c r="V234" t="s">
        <v>800</v>
      </c>
    </row>
    <row r="235" spans="1:22">
      <c r="A235" s="1" t="s">
        <v>255</v>
      </c>
      <c r="B235">
        <f>HYPERLINK("https://www.suredividend.com/sure-analysis-AMX/","America Movil S.A.B.DE C.V.")</f>
        <v>0</v>
      </c>
      <c r="C235">
        <v>18.05</v>
      </c>
      <c r="D235">
        <v>18</v>
      </c>
      <c r="E235">
        <v>1.002777777777778</v>
      </c>
      <c r="F235">
        <v>0.0221606648199446</v>
      </c>
      <c r="G235">
        <v>-0.0005546315115934064</v>
      </c>
      <c r="H235">
        <v>0.04</v>
      </c>
      <c r="I235">
        <v>0.06031456642606559</v>
      </c>
      <c r="J235" t="s">
        <v>773</v>
      </c>
      <c r="K235" t="s">
        <v>378</v>
      </c>
      <c r="L235">
        <v>1.35</v>
      </c>
      <c r="M235">
        <v>0.4</v>
      </c>
      <c r="N235">
        <v>0.2962962962962963</v>
      </c>
      <c r="O235">
        <v>0</v>
      </c>
      <c r="P235">
        <v>0.04563955259127317</v>
      </c>
      <c r="Q235">
        <v>0.460065751305357</v>
      </c>
      <c r="R235" t="s">
        <v>776</v>
      </c>
      <c r="S235" t="s">
        <v>780</v>
      </c>
      <c r="T235">
        <v>40716.199933</v>
      </c>
      <c r="U235" s="2">
        <v>44392</v>
      </c>
      <c r="V235" t="s">
        <v>796</v>
      </c>
    </row>
    <row r="236" spans="1:22">
      <c r="A236" s="1" t="s">
        <v>256</v>
      </c>
      <c r="B236">
        <f>HYPERLINK("https://www.suredividend.com/sure-analysis-SJM/","J.M. Smucker Co.")</f>
        <v>0</v>
      </c>
      <c r="C236">
        <v>121.48</v>
      </c>
      <c r="D236">
        <v>110</v>
      </c>
      <c r="E236">
        <v>1.104363636363636</v>
      </c>
      <c r="F236">
        <v>0.03259795851168917</v>
      </c>
      <c r="G236">
        <v>-0.01965806496934952</v>
      </c>
      <c r="H236">
        <v>0.05</v>
      </c>
      <c r="I236">
        <v>0.06017699173756164</v>
      </c>
      <c r="J236" t="s">
        <v>773</v>
      </c>
      <c r="K236" t="s">
        <v>773</v>
      </c>
      <c r="L236">
        <v>6.9</v>
      </c>
      <c r="M236">
        <v>3.96</v>
      </c>
      <c r="N236">
        <v>0.5739130434782609</v>
      </c>
      <c r="O236">
        <v>24</v>
      </c>
      <c r="P236">
        <v>0.04008868188296377</v>
      </c>
      <c r="Q236">
        <v>0.066754281260321</v>
      </c>
      <c r="R236" t="s">
        <v>776</v>
      </c>
      <c r="S236" t="s">
        <v>785</v>
      </c>
      <c r="T236">
        <v>13228.408244</v>
      </c>
      <c r="U236" s="2">
        <v>44435</v>
      </c>
      <c r="V236" t="s">
        <v>797</v>
      </c>
    </row>
    <row r="237" spans="1:22">
      <c r="A237" s="1" t="s">
        <v>257</v>
      </c>
      <c r="B237">
        <f>HYPERLINK("https://www.suredividend.com/sure-analysis-CLX/","Clorox Co.")</f>
        <v>0</v>
      </c>
      <c r="C237">
        <v>160.56</v>
      </c>
      <c r="D237">
        <v>128</v>
      </c>
      <c r="E237">
        <v>1.254375</v>
      </c>
      <c r="F237">
        <v>0.02889885401096163</v>
      </c>
      <c r="G237">
        <v>-0.04431554471988564</v>
      </c>
      <c r="H237">
        <v>0.08</v>
      </c>
      <c r="I237">
        <v>0.05936677693911774</v>
      </c>
      <c r="J237" t="s">
        <v>773</v>
      </c>
      <c r="K237" t="s">
        <v>773</v>
      </c>
      <c r="L237">
        <v>5.55</v>
      </c>
      <c r="M237">
        <v>4.64</v>
      </c>
      <c r="N237">
        <v>0.836036036036036</v>
      </c>
      <c r="O237">
        <v>44</v>
      </c>
      <c r="P237">
        <v>0.04017423812999366</v>
      </c>
      <c r="Q237">
        <v>-0.223406649188083</v>
      </c>
      <c r="R237" t="s">
        <v>776</v>
      </c>
      <c r="S237" t="s">
        <v>785</v>
      </c>
      <c r="T237">
        <v>20048.006363</v>
      </c>
      <c r="U237" s="2">
        <v>44415</v>
      </c>
      <c r="V237" t="s">
        <v>795</v>
      </c>
    </row>
    <row r="238" spans="1:22">
      <c r="A238" s="1" t="s">
        <v>258</v>
      </c>
      <c r="B238">
        <f>HYPERLINK("https://www.suredividend.com/sure-analysis-FOXA/","Fox Corporation")</f>
        <v>0</v>
      </c>
      <c r="C238">
        <v>41.93</v>
      </c>
      <c r="D238">
        <v>42</v>
      </c>
      <c r="E238">
        <v>0.9983333333333333</v>
      </c>
      <c r="F238">
        <v>0.01097066539470546</v>
      </c>
      <c r="G238">
        <v>0.0003336670746181269</v>
      </c>
      <c r="H238">
        <v>0.05</v>
      </c>
      <c r="I238">
        <v>0.05921307539091081</v>
      </c>
      <c r="J238" t="s">
        <v>773</v>
      </c>
      <c r="K238" t="s">
        <v>378</v>
      </c>
      <c r="L238">
        <v>2.77</v>
      </c>
      <c r="M238">
        <v>0.46</v>
      </c>
      <c r="N238">
        <v>0.1660649819494585</v>
      </c>
      <c r="O238">
        <v>0</v>
      </c>
      <c r="P238">
        <v>0</v>
      </c>
      <c r="Q238">
        <v>0.5677571766053401</v>
      </c>
      <c r="R238" t="s">
        <v>776</v>
      </c>
      <c r="S238" t="s">
        <v>780</v>
      </c>
      <c r="T238">
        <v>23253.171452</v>
      </c>
      <c r="U238" s="2">
        <v>44425</v>
      </c>
      <c r="V238" t="s">
        <v>798</v>
      </c>
    </row>
    <row r="239" spans="1:22">
      <c r="A239" s="1" t="s">
        <v>259</v>
      </c>
      <c r="B239">
        <f>HYPERLINK("https://www.suredividend.com/sure-analysis-MSM/","MSC Industrial Direct Co., Inc.")</f>
        <v>0</v>
      </c>
      <c r="C239">
        <v>85.06999999999999</v>
      </c>
      <c r="D239">
        <v>75</v>
      </c>
      <c r="E239">
        <v>1.134266666666667</v>
      </c>
      <c r="F239">
        <v>0.03526507581991301</v>
      </c>
      <c r="G239">
        <v>-0.02488246515459758</v>
      </c>
      <c r="H239">
        <v>0.05</v>
      </c>
      <c r="I239">
        <v>0.05866938610037775</v>
      </c>
      <c r="J239" t="s">
        <v>773</v>
      </c>
      <c r="K239" t="s">
        <v>773</v>
      </c>
      <c r="L239">
        <v>4.83</v>
      </c>
      <c r="M239">
        <v>3</v>
      </c>
      <c r="N239">
        <v>0.6211180124223602</v>
      </c>
      <c r="O239">
        <v>16</v>
      </c>
      <c r="P239">
        <v>0.05006335758366887</v>
      </c>
      <c r="Q239">
        <v>0.369376441470226</v>
      </c>
      <c r="R239" t="s">
        <v>776</v>
      </c>
      <c r="S239" t="s">
        <v>783</v>
      </c>
      <c r="T239">
        <v>3967.59822</v>
      </c>
      <c r="U239" s="2">
        <v>44396</v>
      </c>
      <c r="V239" t="s">
        <v>793</v>
      </c>
    </row>
    <row r="240" spans="1:22">
      <c r="A240" s="1" t="s">
        <v>260</v>
      </c>
      <c r="B240">
        <f>HYPERLINK("https://www.suredividend.com/sure-analysis-HRB/","H&amp;R Block Inc.")</f>
        <v>0</v>
      </c>
      <c r="C240">
        <v>24.55</v>
      </c>
      <c r="D240">
        <v>26.6</v>
      </c>
      <c r="E240">
        <v>0.9229323308270676</v>
      </c>
      <c r="F240">
        <v>0.0439918533604888</v>
      </c>
      <c r="G240">
        <v>0.01616920161118673</v>
      </c>
      <c r="H240">
        <v>0.003</v>
      </c>
      <c r="I240">
        <v>0.05861337028107183</v>
      </c>
      <c r="J240" t="s">
        <v>773</v>
      </c>
      <c r="K240" t="s">
        <v>772</v>
      </c>
      <c r="L240">
        <v>2.96</v>
      </c>
      <c r="M240">
        <v>1.08</v>
      </c>
      <c r="N240">
        <v>0.3648648648648649</v>
      </c>
      <c r="O240">
        <v>1</v>
      </c>
      <c r="P240">
        <v>0.01439440873959041</v>
      </c>
      <c r="Q240">
        <v>0.489295127146691</v>
      </c>
      <c r="R240" t="s">
        <v>776</v>
      </c>
      <c r="S240" t="s">
        <v>788</v>
      </c>
      <c r="T240">
        <v>4500.620042</v>
      </c>
      <c r="U240" s="2">
        <v>44365</v>
      </c>
      <c r="V240" t="s">
        <v>800</v>
      </c>
    </row>
    <row r="241" spans="1:22">
      <c r="A241" s="1" t="s">
        <v>261</v>
      </c>
      <c r="B241">
        <f>HYPERLINK("https://www.suredividend.com/sure-analysis-LRLCF/","L'Oréal SA")</f>
        <v>0</v>
      </c>
      <c r="C241">
        <v>420.58</v>
      </c>
      <c r="D241">
        <v>400</v>
      </c>
      <c r="E241">
        <v>1.05145</v>
      </c>
      <c r="F241">
        <v>0.01236387845356413</v>
      </c>
      <c r="G241">
        <v>-0.009983859828156749</v>
      </c>
      <c r="H241">
        <v>0.055</v>
      </c>
      <c r="I241">
        <v>0.05625686617090908</v>
      </c>
      <c r="J241" t="s">
        <v>773</v>
      </c>
      <c r="K241" t="s">
        <v>486</v>
      </c>
      <c r="L241">
        <v>10</v>
      </c>
      <c r="M241">
        <v>5.2</v>
      </c>
      <c r="N241">
        <v>0.52</v>
      </c>
      <c r="O241">
        <v>21</v>
      </c>
      <c r="P241">
        <v>0.05010553388446692</v>
      </c>
      <c r="Q241">
        <v>0.26259900264007</v>
      </c>
      <c r="R241" t="s">
        <v>776</v>
      </c>
      <c r="S241" t="s">
        <v>785</v>
      </c>
      <c r="T241">
        <v>240033.33547</v>
      </c>
      <c r="U241" s="2">
        <v>44425</v>
      </c>
      <c r="V241" t="s">
        <v>791</v>
      </c>
    </row>
    <row r="242" spans="1:22">
      <c r="A242" s="1" t="s">
        <v>262</v>
      </c>
      <c r="B242">
        <f>HYPERLINK("https://www.suredividend.com/sure-analysis-DTE/","DTE Energy Co.")</f>
        <v>0</v>
      </c>
      <c r="C242">
        <v>113.71</v>
      </c>
      <c r="D242">
        <v>102</v>
      </c>
      <c r="E242">
        <v>1.114803921568627</v>
      </c>
      <c r="F242">
        <v>0.02902119426611556</v>
      </c>
      <c r="G242">
        <v>-0.02150118860716799</v>
      </c>
      <c r="H242">
        <v>0.05</v>
      </c>
      <c r="I242">
        <v>0.05600292665239937</v>
      </c>
      <c r="J242" t="s">
        <v>773</v>
      </c>
      <c r="K242" t="s">
        <v>773</v>
      </c>
      <c r="L242">
        <v>6</v>
      </c>
      <c r="M242">
        <v>3.3</v>
      </c>
      <c r="N242">
        <v>0.5499999999999999</v>
      </c>
      <c r="O242">
        <v>12</v>
      </c>
      <c r="P242">
        <v>0.04991376879974663</v>
      </c>
      <c r="Q242">
        <v>0.17191399715986</v>
      </c>
      <c r="R242" t="s">
        <v>776</v>
      </c>
      <c r="S242" t="s">
        <v>787</v>
      </c>
      <c r="T242">
        <v>22289.178772</v>
      </c>
      <c r="U242" s="2">
        <v>44438</v>
      </c>
      <c r="V242" t="s">
        <v>796</v>
      </c>
    </row>
    <row r="243" spans="1:22">
      <c r="A243" s="1" t="s">
        <v>263</v>
      </c>
      <c r="B243">
        <f>HYPERLINK("https://www.suredividend.com/sure-analysis-RSG/","Republic Services, Inc.")</f>
        <v>0</v>
      </c>
      <c r="C243">
        <v>127.38</v>
      </c>
      <c r="D243">
        <v>105</v>
      </c>
      <c r="E243">
        <v>1.213142857142857</v>
      </c>
      <c r="F243">
        <v>0.01444496781284346</v>
      </c>
      <c r="G243">
        <v>-0.03790576810146007</v>
      </c>
      <c r="H243">
        <v>0.08</v>
      </c>
      <c r="I243">
        <v>0.05367028526065298</v>
      </c>
      <c r="J243" t="s">
        <v>773</v>
      </c>
      <c r="K243" t="s">
        <v>486</v>
      </c>
      <c r="L243">
        <v>4.03</v>
      </c>
      <c r="M243">
        <v>1.84</v>
      </c>
      <c r="N243">
        <v>0.456575682382134</v>
      </c>
      <c r="O243">
        <v>17</v>
      </c>
      <c r="P243">
        <v>0.0649189212487713</v>
      </c>
      <c r="Q243">
        <v>0.387556638013164</v>
      </c>
      <c r="R243" t="s">
        <v>776</v>
      </c>
      <c r="S243" t="s">
        <v>783</v>
      </c>
      <c r="T243">
        <v>40664.742801</v>
      </c>
      <c r="U243" s="2">
        <v>44407</v>
      </c>
      <c r="V243" t="s">
        <v>791</v>
      </c>
    </row>
    <row r="244" spans="1:22">
      <c r="A244" s="1" t="s">
        <v>264</v>
      </c>
      <c r="B244">
        <f>HYPERLINK("https://www.suredividend.com/sure-analysis-ED/","Consolidated Edison, Inc.")</f>
        <v>0</v>
      </c>
      <c r="C244">
        <v>72.89</v>
      </c>
      <c r="D244">
        <v>65</v>
      </c>
      <c r="E244">
        <v>1.121384615384615</v>
      </c>
      <c r="F244">
        <v>0.0425298394841542</v>
      </c>
      <c r="G244">
        <v>-0.02265233148185908</v>
      </c>
      <c r="H244">
        <v>0.035</v>
      </c>
      <c r="I244">
        <v>0.05307829422102306</v>
      </c>
      <c r="J244" t="s">
        <v>773</v>
      </c>
      <c r="K244" t="s">
        <v>772</v>
      </c>
      <c r="L244">
        <v>4.25</v>
      </c>
      <c r="M244">
        <v>3.1</v>
      </c>
      <c r="N244">
        <v>0.7294117647058824</v>
      </c>
      <c r="O244">
        <v>47</v>
      </c>
      <c r="P244">
        <v>0.03489723107282572</v>
      </c>
      <c r="Q244">
        <v>-0.06154462672234901</v>
      </c>
      <c r="R244" t="s">
        <v>776</v>
      </c>
      <c r="S244" t="s">
        <v>787</v>
      </c>
      <c r="T244">
        <v>26316.343242</v>
      </c>
      <c r="U244" s="2">
        <v>44422</v>
      </c>
      <c r="V244" t="s">
        <v>792</v>
      </c>
    </row>
    <row r="245" spans="1:22">
      <c r="A245" s="1" t="s">
        <v>265</v>
      </c>
      <c r="B245">
        <f>HYPERLINK("https://www.suredividend.com/sure-analysis-IBM/","International Business Machines Corp.")</f>
        <v>0</v>
      </c>
      <c r="C245">
        <v>142.32</v>
      </c>
      <c r="D245">
        <v>121</v>
      </c>
      <c r="E245">
        <v>1.176198347107438</v>
      </c>
      <c r="F245">
        <v>0.04609331084879145</v>
      </c>
      <c r="G245">
        <v>-0.03193640790678831</v>
      </c>
      <c r="H245">
        <v>0.04</v>
      </c>
      <c r="I245">
        <v>0.05290128463739752</v>
      </c>
      <c r="J245" t="s">
        <v>773</v>
      </c>
      <c r="K245" t="s">
        <v>772</v>
      </c>
      <c r="L245">
        <v>11.03</v>
      </c>
      <c r="M245">
        <v>6.56</v>
      </c>
      <c r="N245">
        <v>0.5947416137805984</v>
      </c>
      <c r="O245">
        <v>26</v>
      </c>
      <c r="P245">
        <v>0.03996760299438673</v>
      </c>
      <c r="Q245">
        <v>0.207489255675266</v>
      </c>
      <c r="R245" t="s">
        <v>776</v>
      </c>
      <c r="S245" t="s">
        <v>784</v>
      </c>
      <c r="T245">
        <v>129616.845757</v>
      </c>
      <c r="U245" s="2">
        <v>44409</v>
      </c>
      <c r="V245" t="s">
        <v>799</v>
      </c>
    </row>
    <row r="246" spans="1:22">
      <c r="A246" s="1" t="s">
        <v>266</v>
      </c>
      <c r="B246">
        <f>HYPERLINK("https://www.suredividend.com/sure-analysis-AWK/","American Water Works Co. Inc.")</f>
        <v>0</v>
      </c>
      <c r="C246">
        <v>170.39</v>
      </c>
      <c r="D246">
        <v>136</v>
      </c>
      <c r="E246">
        <v>1.252867647058823</v>
      </c>
      <c r="F246">
        <v>0.01414402253653384</v>
      </c>
      <c r="G246">
        <v>-0.04408569426233844</v>
      </c>
      <c r="H246">
        <v>0.08500000000000001</v>
      </c>
      <c r="I246">
        <v>0.0526499890596368</v>
      </c>
      <c r="J246" t="s">
        <v>773</v>
      </c>
      <c r="K246" t="s">
        <v>486</v>
      </c>
      <c r="L246">
        <v>4.25</v>
      </c>
      <c r="M246">
        <v>2.41</v>
      </c>
      <c r="N246">
        <v>0.5670588235294118</v>
      </c>
      <c r="O246">
        <v>13</v>
      </c>
      <c r="P246">
        <v>0.0901126350638779</v>
      </c>
      <c r="Q246">
        <v>0.116488097176539</v>
      </c>
      <c r="R246" t="s">
        <v>776</v>
      </c>
      <c r="S246" t="s">
        <v>787</v>
      </c>
      <c r="T246">
        <v>31111.996322</v>
      </c>
      <c r="U246" s="2">
        <v>44411</v>
      </c>
      <c r="V246" t="s">
        <v>791</v>
      </c>
    </row>
    <row r="247" spans="1:22">
      <c r="A247" s="1" t="s">
        <v>267</v>
      </c>
      <c r="B247">
        <f>HYPERLINK("https://www.suredividend.com/sure-analysis-IMO/","Imperial Oil Ltd.")</f>
        <v>0</v>
      </c>
      <c r="C247">
        <v>34.4</v>
      </c>
      <c r="D247">
        <v>28</v>
      </c>
      <c r="E247">
        <v>1.228571428571428</v>
      </c>
      <c r="F247">
        <v>0.02412790697674419</v>
      </c>
      <c r="G247">
        <v>-0.04033442140543075</v>
      </c>
      <c r="H247">
        <v>0.07000000000000001</v>
      </c>
      <c r="I247">
        <v>0.05220655680650599</v>
      </c>
      <c r="J247" t="s">
        <v>773</v>
      </c>
      <c r="K247" t="s">
        <v>378</v>
      </c>
      <c r="L247">
        <v>2</v>
      </c>
      <c r="M247">
        <v>0.83</v>
      </c>
      <c r="N247">
        <v>0.415</v>
      </c>
      <c r="O247">
        <v>6</v>
      </c>
      <c r="P247">
        <v>0.06924192562875131</v>
      </c>
      <c r="Q247">
        <v>1.879618157476779</v>
      </c>
      <c r="R247" t="s">
        <v>776</v>
      </c>
      <c r="S247" t="s">
        <v>789</v>
      </c>
      <c r="T247">
        <v>24192.530986</v>
      </c>
      <c r="U247" s="2">
        <v>44434</v>
      </c>
      <c r="V247" t="s">
        <v>796</v>
      </c>
    </row>
    <row r="248" spans="1:22">
      <c r="A248" s="1" t="s">
        <v>268</v>
      </c>
      <c r="B248">
        <f>HYPERLINK("https://www.suredividend.com/sure-analysis-ICE/","Intercontinental Exchange Inc")</f>
        <v>0</v>
      </c>
      <c r="C248">
        <v>130.3</v>
      </c>
      <c r="D248">
        <v>103</v>
      </c>
      <c r="E248">
        <v>1.26504854368932</v>
      </c>
      <c r="F248">
        <v>0.0101304681504221</v>
      </c>
      <c r="G248">
        <v>-0.04593368672601206</v>
      </c>
      <c r="H248">
        <v>0.09</v>
      </c>
      <c r="I248">
        <v>0.05198826664991807</v>
      </c>
      <c r="J248" t="s">
        <v>773</v>
      </c>
      <c r="K248" t="s">
        <v>486</v>
      </c>
      <c r="L248">
        <v>4.92</v>
      </c>
      <c r="M248">
        <v>1.32</v>
      </c>
      <c r="N248">
        <v>0.2682926829268293</v>
      </c>
      <c r="O248">
        <v>8</v>
      </c>
      <c r="P248">
        <v>0.1203569122523565</v>
      </c>
      <c r="Q248">
        <v>0.291836936412549</v>
      </c>
      <c r="R248" t="s">
        <v>776</v>
      </c>
      <c r="S248" t="s">
        <v>786</v>
      </c>
      <c r="T248">
        <v>72866.65081000001</v>
      </c>
      <c r="U248" s="2">
        <v>44430</v>
      </c>
      <c r="V248" t="s">
        <v>799</v>
      </c>
    </row>
    <row r="249" spans="1:22">
      <c r="A249" s="1" t="s">
        <v>269</v>
      </c>
      <c r="B249">
        <f>HYPERLINK("https://www.suredividend.com/sure-analysis-CIO/","City Office REIT Inc")</f>
        <v>0</v>
      </c>
      <c r="C249">
        <v>19.04</v>
      </c>
      <c r="D249">
        <v>16.05</v>
      </c>
      <c r="E249">
        <v>1.186292834890966</v>
      </c>
      <c r="F249">
        <v>0.03151260504201681</v>
      </c>
      <c r="G249">
        <v>-0.03358954751168952</v>
      </c>
      <c r="H249">
        <v>0.05</v>
      </c>
      <c r="I249">
        <v>0.05192100879903228</v>
      </c>
      <c r="J249" t="s">
        <v>773</v>
      </c>
      <c r="K249" t="s">
        <v>773</v>
      </c>
      <c r="L249">
        <v>1.42</v>
      </c>
      <c r="M249">
        <v>0.6</v>
      </c>
      <c r="N249">
        <v>0.4225352112676056</v>
      </c>
      <c r="O249">
        <v>0</v>
      </c>
      <c r="P249">
        <v>0.1008397341583922</v>
      </c>
      <c r="Q249">
        <v>1.755112542083829</v>
      </c>
      <c r="R249" t="s">
        <v>778</v>
      </c>
      <c r="S249" t="s">
        <v>790</v>
      </c>
      <c r="T249">
        <v>816.208987</v>
      </c>
      <c r="U249" s="2">
        <v>44433</v>
      </c>
      <c r="V249" t="s">
        <v>791</v>
      </c>
    </row>
    <row r="250" spans="1:22">
      <c r="A250" s="1" t="s">
        <v>270</v>
      </c>
      <c r="B250">
        <f>HYPERLINK("https://www.suredividend.com/sure-analysis-HNI/","HNI Corp.")</f>
        <v>0</v>
      </c>
      <c r="C250">
        <v>38.06</v>
      </c>
      <c r="D250">
        <v>32</v>
      </c>
      <c r="E250">
        <v>1.189375</v>
      </c>
      <c r="F250">
        <v>0.0325801366263794</v>
      </c>
      <c r="G250">
        <v>-0.03409094176352279</v>
      </c>
      <c r="H250">
        <v>0.055</v>
      </c>
      <c r="I250">
        <v>0.0511416772246307</v>
      </c>
      <c r="J250" t="s">
        <v>773</v>
      </c>
      <c r="K250" t="s">
        <v>773</v>
      </c>
      <c r="L250">
        <v>2.26</v>
      </c>
      <c r="M250">
        <v>1.24</v>
      </c>
      <c r="N250">
        <v>0.5486725663716815</v>
      </c>
      <c r="O250">
        <v>9</v>
      </c>
      <c r="P250">
        <v>0.04156021015686417</v>
      </c>
      <c r="Q250">
        <v>0.102645144836795</v>
      </c>
      <c r="R250" t="s">
        <v>776</v>
      </c>
      <c r="S250" t="s">
        <v>783</v>
      </c>
      <c r="T250">
        <v>1688.317696</v>
      </c>
      <c r="U250" s="2">
        <v>44407</v>
      </c>
      <c r="V250" t="s">
        <v>792</v>
      </c>
    </row>
    <row r="251" spans="1:22">
      <c r="A251" s="1" t="s">
        <v>271</v>
      </c>
      <c r="B251">
        <f>HYPERLINK("https://www.suredividend.com/sure-analysis-SBAC/","SBA Communications Corp")</f>
        <v>0</v>
      </c>
      <c r="C251">
        <v>323.4</v>
      </c>
      <c r="D251">
        <v>242</v>
      </c>
      <c r="E251">
        <v>1.336363636363636</v>
      </c>
      <c r="F251">
        <v>0.007173778602350031</v>
      </c>
      <c r="G251">
        <v>-0.05634103518736788</v>
      </c>
      <c r="H251">
        <v>0.1</v>
      </c>
      <c r="I251">
        <v>0.04882941905434635</v>
      </c>
      <c r="J251" t="s">
        <v>773</v>
      </c>
      <c r="K251" t="s">
        <v>486</v>
      </c>
      <c r="L251">
        <v>10.52</v>
      </c>
      <c r="M251">
        <v>2.32</v>
      </c>
      <c r="N251">
        <v>0.220532319391635</v>
      </c>
      <c r="O251">
        <v>2</v>
      </c>
      <c r="P251">
        <v>0.1998793126786198</v>
      </c>
      <c r="Q251">
        <v>0.06169214045774501</v>
      </c>
      <c r="R251" t="s">
        <v>776</v>
      </c>
      <c r="S251" t="s">
        <v>784</v>
      </c>
      <c r="T251">
        <v>35813.023459</v>
      </c>
      <c r="U251" s="2">
        <v>44411</v>
      </c>
      <c r="V251" t="s">
        <v>791</v>
      </c>
    </row>
    <row r="252" spans="1:22">
      <c r="A252" s="1" t="s">
        <v>272</v>
      </c>
      <c r="B252">
        <f>HYPERLINK("https://www.suredividend.com/sure-analysis-WEYS/","Weyco Group, Inc")</f>
        <v>0</v>
      </c>
      <c r="C252">
        <v>23.5</v>
      </c>
      <c r="D252">
        <v>23</v>
      </c>
      <c r="E252">
        <v>1.021739130434783</v>
      </c>
      <c r="F252">
        <v>0.0425531914893617</v>
      </c>
      <c r="G252">
        <v>-0.004292003955326806</v>
      </c>
      <c r="H252">
        <v>0.01</v>
      </c>
      <c r="I252">
        <v>0.0487586563521667</v>
      </c>
      <c r="J252" t="s">
        <v>773</v>
      </c>
      <c r="K252" t="s">
        <v>772</v>
      </c>
      <c r="L252">
        <v>1.5</v>
      </c>
      <c r="M252">
        <v>1</v>
      </c>
      <c r="N252">
        <v>0.6666666666666666</v>
      </c>
      <c r="O252">
        <v>39</v>
      </c>
      <c r="P252">
        <v>0.04057159395880827</v>
      </c>
      <c r="Q252">
        <v>0.4273526096514441</v>
      </c>
      <c r="R252" t="s">
        <v>776</v>
      </c>
      <c r="S252" t="s">
        <v>788</v>
      </c>
      <c r="T252">
        <v>222.637064</v>
      </c>
      <c r="U252" s="2">
        <v>44423</v>
      </c>
      <c r="V252" t="s">
        <v>799</v>
      </c>
    </row>
    <row r="253" spans="1:22">
      <c r="A253" s="1" t="s">
        <v>273</v>
      </c>
      <c r="B253">
        <f>HYPERLINK("https://www.suredividend.com/sure-analysis-WABC/","Westamerica Bancorporation")</f>
        <v>0</v>
      </c>
      <c r="C253">
        <v>54.75</v>
      </c>
      <c r="D253">
        <v>55</v>
      </c>
      <c r="E253">
        <v>0.9954545454545455</v>
      </c>
      <c r="F253">
        <v>0.02995433789954338</v>
      </c>
      <c r="G253">
        <v>0.0009115785425644063</v>
      </c>
      <c r="H253">
        <v>0.02</v>
      </c>
      <c r="I253">
        <v>0.04864811135614189</v>
      </c>
      <c r="J253" t="s">
        <v>773</v>
      </c>
      <c r="K253" t="s">
        <v>773</v>
      </c>
      <c r="L253">
        <v>3.03</v>
      </c>
      <c r="M253">
        <v>1.64</v>
      </c>
      <c r="N253">
        <v>0.5412541254125413</v>
      </c>
      <c r="O253">
        <v>28</v>
      </c>
      <c r="P253">
        <v>0.01992196624507558</v>
      </c>
      <c r="Q253">
        <v>0.013270382423079</v>
      </c>
      <c r="R253" t="s">
        <v>776</v>
      </c>
      <c r="S253" t="s">
        <v>786</v>
      </c>
      <c r="T253">
        <v>1471.438935</v>
      </c>
      <c r="U253" s="2">
        <v>44393</v>
      </c>
      <c r="V253" t="s">
        <v>792</v>
      </c>
    </row>
    <row r="254" spans="1:22">
      <c r="A254" s="1" t="s">
        <v>274</v>
      </c>
      <c r="B254">
        <f>HYPERLINK("https://www.suredividend.com/sure-analysis-CTSH/","Cognizant Technology Solutions Corp.")</f>
        <v>0</v>
      </c>
      <c r="C254">
        <v>78.89</v>
      </c>
      <c r="D254">
        <v>64</v>
      </c>
      <c r="E254">
        <v>1.23265625</v>
      </c>
      <c r="F254">
        <v>0.01216884269235645</v>
      </c>
      <c r="G254">
        <v>-0.04097130116067582</v>
      </c>
      <c r="H254">
        <v>0.08</v>
      </c>
      <c r="I254">
        <v>0.04852656549035039</v>
      </c>
      <c r="J254" t="s">
        <v>773</v>
      </c>
      <c r="K254" t="s">
        <v>486</v>
      </c>
      <c r="L254">
        <v>4</v>
      </c>
      <c r="M254">
        <v>0.96</v>
      </c>
      <c r="N254">
        <v>0.24</v>
      </c>
      <c r="O254">
        <v>2</v>
      </c>
      <c r="P254">
        <v>0.07214502590085092</v>
      </c>
      <c r="Q254">
        <v>0.088125313165584</v>
      </c>
      <c r="R254" t="s">
        <v>776</v>
      </c>
      <c r="S254" t="s">
        <v>784</v>
      </c>
      <c r="T254">
        <v>41432.827276</v>
      </c>
      <c r="U254" s="2">
        <v>44428</v>
      </c>
      <c r="V254" t="s">
        <v>796</v>
      </c>
    </row>
    <row r="255" spans="1:22">
      <c r="A255" s="1" t="s">
        <v>275</v>
      </c>
      <c r="B255">
        <f>HYPERLINK("https://www.suredividend.com/sure-analysis-ETR/","Entergy Corp.")</f>
        <v>0</v>
      </c>
      <c r="C255">
        <v>101.77</v>
      </c>
      <c r="D255">
        <v>89</v>
      </c>
      <c r="E255">
        <v>1.143483146067416</v>
      </c>
      <c r="F255">
        <v>0.03733909796600177</v>
      </c>
      <c r="G255">
        <v>-0.02645944793936561</v>
      </c>
      <c r="H255">
        <v>0.04</v>
      </c>
      <c r="I255">
        <v>0.04816699267727675</v>
      </c>
      <c r="J255" t="s">
        <v>773</v>
      </c>
      <c r="K255" t="s">
        <v>772</v>
      </c>
      <c r="L255">
        <v>5.95</v>
      </c>
      <c r="M255">
        <v>3.8</v>
      </c>
      <c r="N255">
        <v>0.6386554621848739</v>
      </c>
      <c r="O255">
        <v>27</v>
      </c>
      <c r="P255">
        <v>0.02503093353490349</v>
      </c>
      <c r="Q255">
        <v>-0.006088860030094001</v>
      </c>
      <c r="R255" t="s">
        <v>776</v>
      </c>
      <c r="S255" t="s">
        <v>787</v>
      </c>
      <c r="T255">
        <v>20547.603453</v>
      </c>
      <c r="U255" s="2">
        <v>44424</v>
      </c>
      <c r="V255" t="s">
        <v>794</v>
      </c>
    </row>
    <row r="256" spans="1:22">
      <c r="A256" s="1" t="s">
        <v>276</v>
      </c>
      <c r="B256">
        <f>HYPERLINK("https://www.suredividend.com/sure-analysis-GEF/","Greif Inc")</f>
        <v>0</v>
      </c>
      <c r="C256">
        <v>63.36</v>
      </c>
      <c r="D256">
        <v>62</v>
      </c>
      <c r="E256">
        <v>1.021935483870968</v>
      </c>
      <c r="F256">
        <v>0.02904040404040404</v>
      </c>
      <c r="G256">
        <v>-0.004330269720113855</v>
      </c>
      <c r="H256">
        <v>0.02</v>
      </c>
      <c r="I256">
        <v>0.04294903954900842</v>
      </c>
      <c r="J256" t="s">
        <v>773</v>
      </c>
      <c r="K256" t="s">
        <v>773</v>
      </c>
      <c r="L256">
        <v>4.4</v>
      </c>
      <c r="M256">
        <v>1.84</v>
      </c>
      <c r="N256">
        <v>0.4181818181818182</v>
      </c>
      <c r="O256">
        <v>1</v>
      </c>
      <c r="P256">
        <v>0.01884169405651681</v>
      </c>
      <c r="Q256">
        <v>0.5427108111927981</v>
      </c>
      <c r="R256" t="s">
        <v>776</v>
      </c>
      <c r="S256" t="s">
        <v>788</v>
      </c>
      <c r="T256">
        <v>3120.574678</v>
      </c>
      <c r="U256" s="2">
        <v>44441</v>
      </c>
      <c r="V256" t="s">
        <v>797</v>
      </c>
    </row>
    <row r="257" spans="1:22">
      <c r="A257" s="1" t="s">
        <v>277</v>
      </c>
      <c r="B257">
        <f>HYPERLINK("https://www.suredividend.com/sure-analysis-CAT/","Caterpillar Inc.")</f>
        <v>0</v>
      </c>
      <c r="C257">
        <v>198.18</v>
      </c>
      <c r="D257">
        <v>147</v>
      </c>
      <c r="E257">
        <v>1.348163265306122</v>
      </c>
      <c r="F257">
        <v>0.02240387526491069</v>
      </c>
      <c r="G257">
        <v>-0.05799870000578389</v>
      </c>
      <c r="H257">
        <v>0.08</v>
      </c>
      <c r="I257">
        <v>0.04257184648372947</v>
      </c>
      <c r="J257" t="s">
        <v>773</v>
      </c>
      <c r="K257" t="s">
        <v>773</v>
      </c>
      <c r="L257">
        <v>9.199999999999999</v>
      </c>
      <c r="M257">
        <v>4.44</v>
      </c>
      <c r="N257">
        <v>0.482608695652174</v>
      </c>
      <c r="O257">
        <v>28</v>
      </c>
      <c r="P257">
        <v>0.07987360286076095</v>
      </c>
      <c r="Q257">
        <v>0.198341758013481</v>
      </c>
      <c r="R257" t="s">
        <v>776</v>
      </c>
      <c r="S257" t="s">
        <v>783</v>
      </c>
      <c r="T257">
        <v>108957.771362</v>
      </c>
      <c r="U257" s="2">
        <v>44415</v>
      </c>
      <c r="V257" t="s">
        <v>797</v>
      </c>
    </row>
    <row r="258" spans="1:22">
      <c r="A258" s="1" t="s">
        <v>278</v>
      </c>
      <c r="B258">
        <f>HYPERLINK("https://www.suredividend.com/sure-analysis-SIEGY/","Siemens AG")</f>
        <v>0</v>
      </c>
      <c r="C258">
        <v>81.29000000000001</v>
      </c>
      <c r="D258">
        <v>69</v>
      </c>
      <c r="E258">
        <v>1.178115942028986</v>
      </c>
      <c r="F258">
        <v>0.02595645220814368</v>
      </c>
      <c r="G258">
        <v>-0.03225175269804892</v>
      </c>
      <c r="H258">
        <v>0.05</v>
      </c>
      <c r="I258">
        <v>0.04221029917704144</v>
      </c>
      <c r="J258" t="s">
        <v>773</v>
      </c>
      <c r="K258" t="s">
        <v>378</v>
      </c>
      <c r="L258">
        <v>4.6</v>
      </c>
      <c r="M258">
        <v>2.11</v>
      </c>
      <c r="N258">
        <v>0.4586956521739131</v>
      </c>
      <c r="O258">
        <v>0</v>
      </c>
      <c r="P258">
        <v>0.04023181804828235</v>
      </c>
      <c r="Q258">
        <v>0.154545454545454</v>
      </c>
      <c r="R258" t="s">
        <v>776</v>
      </c>
      <c r="S258" t="s">
        <v>783</v>
      </c>
      <c r="T258">
        <v>139255.5</v>
      </c>
      <c r="U258" s="2">
        <v>44433</v>
      </c>
      <c r="V258" t="s">
        <v>794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331.84</v>
      </c>
      <c r="D259">
        <v>345</v>
      </c>
      <c r="E259">
        <v>0.961855072463768</v>
      </c>
      <c r="F259">
        <v>0.01265670202507233</v>
      </c>
      <c r="G259">
        <v>0.00780862794745385</v>
      </c>
      <c r="H259">
        <v>0.02</v>
      </c>
      <c r="I259">
        <v>0.04154900094231673</v>
      </c>
      <c r="J259" t="s">
        <v>773</v>
      </c>
      <c r="K259" t="s">
        <v>486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0.4012941631272151</v>
      </c>
      <c r="R259" t="s">
        <v>776</v>
      </c>
      <c r="S259" t="s">
        <v>783</v>
      </c>
      <c r="T259">
        <v>103176.057419</v>
      </c>
      <c r="U259" s="2">
        <v>44428</v>
      </c>
      <c r="V259" t="s">
        <v>797</v>
      </c>
    </row>
    <row r="260" spans="1:22">
      <c r="A260" s="1" t="s">
        <v>280</v>
      </c>
      <c r="B260">
        <f>HYPERLINK("https://www.suredividend.com/sure-analysis-SBSI/","Southside Bancshares Inc")</f>
        <v>0</v>
      </c>
      <c r="C260">
        <v>38.06</v>
      </c>
      <c r="D260">
        <v>34</v>
      </c>
      <c r="E260">
        <v>1.119411764705882</v>
      </c>
      <c r="F260">
        <v>0.03468208092485549</v>
      </c>
      <c r="G260">
        <v>-0.02230807868202911</v>
      </c>
      <c r="H260">
        <v>0.03</v>
      </c>
      <c r="I260">
        <v>0.04146521392042746</v>
      </c>
      <c r="J260" t="s">
        <v>773</v>
      </c>
      <c r="K260" t="s">
        <v>772</v>
      </c>
      <c r="L260">
        <v>2.83</v>
      </c>
      <c r="M260">
        <v>1.32</v>
      </c>
      <c r="N260">
        <v>0.4664310954063604</v>
      </c>
      <c r="O260">
        <v>27</v>
      </c>
      <c r="P260">
        <v>0.02996744995959233</v>
      </c>
      <c r="Q260">
        <v>0.5387037268760521</v>
      </c>
      <c r="R260" t="s">
        <v>776</v>
      </c>
      <c r="S260" t="s">
        <v>786</v>
      </c>
      <c r="T260">
        <v>1244.764991</v>
      </c>
      <c r="U260" s="2">
        <v>44400</v>
      </c>
      <c r="V260" t="s">
        <v>792</v>
      </c>
    </row>
    <row r="261" spans="1:22">
      <c r="A261" s="1" t="s">
        <v>281</v>
      </c>
      <c r="B261">
        <f>HYPERLINK("https://www.suredividend.com/sure-analysis-PRGO/","Perrigo Company plc")</f>
        <v>0</v>
      </c>
      <c r="C261">
        <v>44.77</v>
      </c>
      <c r="D261">
        <v>38</v>
      </c>
      <c r="E261">
        <v>1.178157894736842</v>
      </c>
      <c r="F261">
        <v>0.02144293053383962</v>
      </c>
      <c r="G261">
        <v>-0.03225864485367125</v>
      </c>
      <c r="H261">
        <v>0.05</v>
      </c>
      <c r="I261">
        <v>0.03851570389002101</v>
      </c>
      <c r="J261" t="s">
        <v>773</v>
      </c>
      <c r="K261" t="s">
        <v>773</v>
      </c>
      <c r="L261">
        <v>2.5</v>
      </c>
      <c r="M261">
        <v>0.96</v>
      </c>
      <c r="N261">
        <v>0.384</v>
      </c>
      <c r="O261">
        <v>19</v>
      </c>
      <c r="P261">
        <v>0.05081623913789235</v>
      </c>
      <c r="Q261">
        <v>-0.035712283455738</v>
      </c>
      <c r="R261" t="s">
        <v>776</v>
      </c>
      <c r="S261" t="s">
        <v>781</v>
      </c>
      <c r="T261">
        <v>5979.725006</v>
      </c>
      <c r="U261" s="2">
        <v>44419</v>
      </c>
      <c r="V261" t="s">
        <v>792</v>
      </c>
    </row>
    <row r="262" spans="1:22">
      <c r="A262" s="1" t="s">
        <v>282</v>
      </c>
      <c r="B262">
        <f>HYPERLINK("https://www.suredividend.com/sure-analysis-AAP/","Advance Auto Parts Inc")</f>
        <v>0</v>
      </c>
      <c r="C262">
        <v>222.52</v>
      </c>
      <c r="D262">
        <v>191</v>
      </c>
      <c r="E262">
        <v>1.165026178010471</v>
      </c>
      <c r="F262">
        <v>0.01797591227754809</v>
      </c>
      <c r="G262">
        <v>-0.03008681494376442</v>
      </c>
      <c r="H262">
        <v>0.05</v>
      </c>
      <c r="I262">
        <v>0.03791273111398108</v>
      </c>
      <c r="J262" t="s">
        <v>773</v>
      </c>
      <c r="K262" t="s">
        <v>378</v>
      </c>
      <c r="L262">
        <v>11.25</v>
      </c>
      <c r="M262">
        <v>4</v>
      </c>
      <c r="N262">
        <v>0.3555555555555556</v>
      </c>
      <c r="O262">
        <v>1</v>
      </c>
      <c r="P262">
        <v>0.06498652656427617</v>
      </c>
      <c r="Q262">
        <v>0.4079766389467651</v>
      </c>
      <c r="R262" t="s">
        <v>776</v>
      </c>
      <c r="S262" t="s">
        <v>788</v>
      </c>
      <c r="T262">
        <v>13572.249634</v>
      </c>
      <c r="U262" s="2">
        <v>44432</v>
      </c>
      <c r="V262" t="s">
        <v>797</v>
      </c>
    </row>
    <row r="263" spans="1:22">
      <c r="A263" s="1" t="s">
        <v>283</v>
      </c>
      <c r="B263">
        <f>HYPERLINK("https://www.suredividend.com/sure-analysis-PEP/","PepsiCo Inc")</f>
        <v>0</v>
      </c>
      <c r="C263">
        <v>158.09</v>
      </c>
      <c r="D263">
        <v>124</v>
      </c>
      <c r="E263">
        <v>1.27491935483871</v>
      </c>
      <c r="F263">
        <v>0.02719969637548232</v>
      </c>
      <c r="G263">
        <v>-0.04741561725861587</v>
      </c>
      <c r="H263">
        <v>0.055</v>
      </c>
      <c r="I263">
        <v>0.03458131362466399</v>
      </c>
      <c r="J263" t="s">
        <v>773</v>
      </c>
      <c r="K263" t="s">
        <v>773</v>
      </c>
      <c r="L263">
        <v>6.2</v>
      </c>
      <c r="M263">
        <v>4.3</v>
      </c>
      <c r="N263">
        <v>0.6935483870967741</v>
      </c>
      <c r="O263">
        <v>49</v>
      </c>
      <c r="P263">
        <v>0.0550027021888726</v>
      </c>
      <c r="Q263">
        <v>0.153659514621786</v>
      </c>
      <c r="R263" t="s">
        <v>776</v>
      </c>
      <c r="S263" t="s">
        <v>785</v>
      </c>
      <c r="T263">
        <v>219579.113878</v>
      </c>
      <c r="U263" s="2">
        <v>44474</v>
      </c>
      <c r="V263" t="s">
        <v>792</v>
      </c>
    </row>
    <row r="264" spans="1:22">
      <c r="A264" s="1" t="s">
        <v>284</v>
      </c>
      <c r="B264">
        <f>HYPERLINK("https://www.suredividend.com/sure-analysis-NSC/","Norfolk Southern Corp.")</f>
        <v>0</v>
      </c>
      <c r="C264">
        <v>275.75</v>
      </c>
      <c r="D264">
        <v>214</v>
      </c>
      <c r="E264">
        <v>1.288551401869159</v>
      </c>
      <c r="F264">
        <v>0.01581142339075249</v>
      </c>
      <c r="G264">
        <v>-0.04943974738640911</v>
      </c>
      <c r="H264">
        <v>0.065</v>
      </c>
      <c r="I264">
        <v>0.0307486959866845</v>
      </c>
      <c r="J264" t="s">
        <v>773</v>
      </c>
      <c r="K264" t="s">
        <v>378</v>
      </c>
      <c r="L264">
        <v>11.9</v>
      </c>
      <c r="M264">
        <v>4.36</v>
      </c>
      <c r="N264">
        <v>0.3663865546218488</v>
      </c>
      <c r="O264">
        <v>5</v>
      </c>
      <c r="P264">
        <v>0.0801257210213755</v>
      </c>
      <c r="Q264">
        <v>0.280168124844961</v>
      </c>
      <c r="R264" t="s">
        <v>776</v>
      </c>
      <c r="S264" t="s">
        <v>783</v>
      </c>
      <c r="T264">
        <v>69993.184095</v>
      </c>
      <c r="U264" s="2">
        <v>44415</v>
      </c>
      <c r="V264" t="s">
        <v>794</v>
      </c>
    </row>
    <row r="265" spans="1:22">
      <c r="A265" s="1" t="s">
        <v>285</v>
      </c>
      <c r="B265">
        <f>HYPERLINK("https://www.suredividend.com/sure-analysis-MWA/","Mueller Water Products Inc")</f>
        <v>0</v>
      </c>
      <c r="C265">
        <v>16.32</v>
      </c>
      <c r="D265">
        <v>13.86</v>
      </c>
      <c r="E265">
        <v>1.177489177489178</v>
      </c>
      <c r="F265">
        <v>0.01348039215686275</v>
      </c>
      <c r="G265">
        <v>-0.03214875027668074</v>
      </c>
      <c r="H265">
        <v>0.05</v>
      </c>
      <c r="I265">
        <v>0.03017215921270155</v>
      </c>
      <c r="J265" t="s">
        <v>773</v>
      </c>
      <c r="K265" t="s">
        <v>486</v>
      </c>
      <c r="L265">
        <v>0.63</v>
      </c>
      <c r="M265">
        <v>0.22</v>
      </c>
      <c r="N265">
        <v>0.3492063492063492</v>
      </c>
      <c r="O265">
        <v>7</v>
      </c>
      <c r="P265">
        <v>0.04180926810264429</v>
      </c>
      <c r="Q265">
        <v>0.446837146702557</v>
      </c>
      <c r="R265" t="s">
        <v>776</v>
      </c>
      <c r="S265" t="s">
        <v>783</v>
      </c>
      <c r="T265">
        <v>2522.693339</v>
      </c>
      <c r="U265" s="2">
        <v>44413</v>
      </c>
      <c r="V265" t="s">
        <v>791</v>
      </c>
    </row>
    <row r="266" spans="1:22">
      <c r="A266" s="1" t="s">
        <v>286</v>
      </c>
      <c r="B266">
        <f>HYPERLINK("https://www.suredividend.com/sure-analysis-AMT/","American Tower Corp.")</f>
        <v>0</v>
      </c>
      <c r="C266">
        <v>268</v>
      </c>
      <c r="D266">
        <v>209</v>
      </c>
      <c r="E266">
        <v>1.282296650717703</v>
      </c>
      <c r="F266">
        <v>0.01895522388059702</v>
      </c>
      <c r="G266">
        <v>-0.04851422811392736</v>
      </c>
      <c r="H266">
        <v>0.06</v>
      </c>
      <c r="I266">
        <v>0.02996388455008225</v>
      </c>
      <c r="J266" t="s">
        <v>773</v>
      </c>
      <c r="K266" t="s">
        <v>378</v>
      </c>
      <c r="L266">
        <v>9.5</v>
      </c>
      <c r="M266">
        <v>5.08</v>
      </c>
      <c r="N266">
        <v>0.5347368421052632</v>
      </c>
      <c r="O266">
        <v>10</v>
      </c>
      <c r="P266">
        <v>0.06652456067072565</v>
      </c>
      <c r="Q266">
        <v>0.132255211241079</v>
      </c>
      <c r="R266" t="s">
        <v>778</v>
      </c>
      <c r="S266" t="s">
        <v>790</v>
      </c>
      <c r="T266">
        <v>122583.200673</v>
      </c>
      <c r="U266" s="2">
        <v>44413</v>
      </c>
      <c r="V266" t="s">
        <v>797</v>
      </c>
    </row>
    <row r="267" spans="1:22">
      <c r="A267" s="1" t="s">
        <v>287</v>
      </c>
      <c r="B267">
        <f>HYPERLINK("https://www.suredividend.com/sure-analysis-UNP/","Union Pacific Corp.")</f>
        <v>0</v>
      </c>
      <c r="C267">
        <v>225.93</v>
      </c>
      <c r="D267">
        <v>169</v>
      </c>
      <c r="E267">
        <v>1.336863905325444</v>
      </c>
      <c r="F267">
        <v>0.01894392068339751</v>
      </c>
      <c r="G267">
        <v>-0.05641167124360214</v>
      </c>
      <c r="H267">
        <v>0.07000000000000001</v>
      </c>
      <c r="I267">
        <v>0.02995409394511372</v>
      </c>
      <c r="J267" t="s">
        <v>773</v>
      </c>
      <c r="K267" t="s">
        <v>378</v>
      </c>
      <c r="L267">
        <v>9.949999999999999</v>
      </c>
      <c r="M267">
        <v>4.28</v>
      </c>
      <c r="N267">
        <v>0.4301507537688443</v>
      </c>
      <c r="O267">
        <v>14</v>
      </c>
      <c r="P267">
        <v>0.04990444580451969</v>
      </c>
      <c r="Q267">
        <v>0.088345145973881</v>
      </c>
      <c r="R267" t="s">
        <v>776</v>
      </c>
      <c r="S267" t="s">
        <v>783</v>
      </c>
      <c r="T267">
        <v>146831.999594</v>
      </c>
      <c r="U267" s="2">
        <v>44400</v>
      </c>
      <c r="V267" t="s">
        <v>792</v>
      </c>
    </row>
    <row r="268" spans="1:22">
      <c r="A268" s="1" t="s">
        <v>288</v>
      </c>
      <c r="B268">
        <f>HYPERLINK("https://www.suredividend.com/sure-analysis-XEL/","Xcel Energy, Inc.")</f>
        <v>0</v>
      </c>
      <c r="C268">
        <v>64.68000000000001</v>
      </c>
      <c r="D268">
        <v>53</v>
      </c>
      <c r="E268">
        <v>1.220377358490566</v>
      </c>
      <c r="F268">
        <v>0.02829313543599258</v>
      </c>
      <c r="G268">
        <v>-0.03904915794762243</v>
      </c>
      <c r="H268">
        <v>0.04</v>
      </c>
      <c r="I268">
        <v>0.02950266064881024</v>
      </c>
      <c r="J268" t="s">
        <v>773</v>
      </c>
      <c r="K268" t="s">
        <v>773</v>
      </c>
      <c r="L268">
        <v>2.95</v>
      </c>
      <c r="M268">
        <v>1.83</v>
      </c>
      <c r="N268">
        <v>0.6203389830508474</v>
      </c>
      <c r="O268">
        <v>18</v>
      </c>
      <c r="P268">
        <v>0.04032911905890546</v>
      </c>
      <c r="Q268">
        <v>-0.073350499235405</v>
      </c>
      <c r="R268" t="s">
        <v>776</v>
      </c>
      <c r="S268" t="s">
        <v>787</v>
      </c>
      <c r="T268">
        <v>35499.1284</v>
      </c>
      <c r="U268" s="2">
        <v>44411</v>
      </c>
      <c r="V268" t="s">
        <v>797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49.16</v>
      </c>
      <c r="D269">
        <v>42</v>
      </c>
      <c r="E269">
        <v>1.17047619047619</v>
      </c>
      <c r="F269">
        <v>0.02379983726606998</v>
      </c>
      <c r="G269">
        <v>-0.03099173070430083</v>
      </c>
      <c r="H269">
        <v>0.03</v>
      </c>
      <c r="I269">
        <v>0.0228542780677603</v>
      </c>
      <c r="J269" t="s">
        <v>773</v>
      </c>
      <c r="K269" t="s">
        <v>773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0.186802523047064</v>
      </c>
      <c r="R269" t="s">
        <v>776</v>
      </c>
      <c r="S269" t="s">
        <v>781</v>
      </c>
      <c r="T269">
        <v>274954.938272</v>
      </c>
      <c r="U269" s="2">
        <v>44399</v>
      </c>
      <c r="V269" t="s">
        <v>802</v>
      </c>
    </row>
    <row r="270" spans="1:22">
      <c r="A270" s="1" t="s">
        <v>290</v>
      </c>
      <c r="B270">
        <f>HYPERLINK("https://www.suredividend.com/sure-analysis-IFF/","International Flavors &amp; Fragrances Inc.")</f>
        <v>0</v>
      </c>
      <c r="C270">
        <v>145.52</v>
      </c>
      <c r="D270">
        <v>119</v>
      </c>
      <c r="E270">
        <v>1.222857142857143</v>
      </c>
      <c r="F270">
        <v>0.0217152281473337</v>
      </c>
      <c r="G270">
        <v>-0.0394392094203655</v>
      </c>
      <c r="H270">
        <v>0.04</v>
      </c>
      <c r="I270">
        <v>0.02208078306619932</v>
      </c>
      <c r="J270" t="s">
        <v>773</v>
      </c>
      <c r="K270" t="s">
        <v>378</v>
      </c>
      <c r="L270">
        <v>5.94</v>
      </c>
      <c r="M270">
        <v>3.16</v>
      </c>
      <c r="N270">
        <v>0.531986531986532</v>
      </c>
      <c r="O270">
        <v>19</v>
      </c>
      <c r="P270">
        <v>0.03482958654183155</v>
      </c>
      <c r="Q270">
        <v>0.299892101380662</v>
      </c>
      <c r="R270" t="s">
        <v>776</v>
      </c>
      <c r="S270" t="s">
        <v>782</v>
      </c>
      <c r="T270">
        <v>36756.970049</v>
      </c>
      <c r="U270" s="2">
        <v>44424</v>
      </c>
      <c r="V270" t="s">
        <v>799</v>
      </c>
    </row>
    <row r="271" spans="1:22">
      <c r="A271" s="1" t="s">
        <v>291</v>
      </c>
      <c r="B271">
        <f>HYPERLINK("https://www.suredividend.com/sure-analysis-INGR/","Ingredion Inc")</f>
        <v>0</v>
      </c>
      <c r="C271">
        <v>96.41</v>
      </c>
      <c r="D271">
        <v>79</v>
      </c>
      <c r="E271">
        <v>1.220379746835443</v>
      </c>
      <c r="F271">
        <v>0.02696815683020434</v>
      </c>
      <c r="G271">
        <v>-0.03904953407379508</v>
      </c>
      <c r="H271">
        <v>0.03</v>
      </c>
      <c r="I271">
        <v>0.0204363796553293</v>
      </c>
      <c r="J271" t="s">
        <v>773</v>
      </c>
      <c r="K271" t="s">
        <v>773</v>
      </c>
      <c r="L271">
        <v>5.3</v>
      </c>
      <c r="M271">
        <v>2.6</v>
      </c>
      <c r="N271">
        <v>0.4905660377358491</v>
      </c>
      <c r="O271">
        <v>11</v>
      </c>
      <c r="P271">
        <v>0.05010553388446692</v>
      </c>
      <c r="Q271">
        <v>0.259017347876318</v>
      </c>
      <c r="R271" t="s">
        <v>776</v>
      </c>
      <c r="S271" t="s">
        <v>785</v>
      </c>
      <c r="T271">
        <v>6491.450988</v>
      </c>
      <c r="U271" s="2">
        <v>44413</v>
      </c>
      <c r="V271" t="s">
        <v>802</v>
      </c>
    </row>
    <row r="272" spans="1:22">
      <c r="A272" s="1" t="s">
        <v>292</v>
      </c>
      <c r="B272">
        <f>HYPERLINK("https://www.suredividend.com/sure-analysis-MCD/","McDonald`s Corp")</f>
        <v>0</v>
      </c>
      <c r="C272">
        <v>242.26</v>
      </c>
      <c r="D272">
        <v>174</v>
      </c>
      <c r="E272">
        <v>1.392298850574713</v>
      </c>
      <c r="F272">
        <v>0.02278543713365805</v>
      </c>
      <c r="G272">
        <v>-0.06404814994326935</v>
      </c>
      <c r="H272">
        <v>0.06</v>
      </c>
      <c r="I272">
        <v>0.01875279981911127</v>
      </c>
      <c r="J272" t="s">
        <v>773</v>
      </c>
      <c r="K272" t="s">
        <v>773</v>
      </c>
      <c r="L272">
        <v>8.699999999999999</v>
      </c>
      <c r="M272">
        <v>5.52</v>
      </c>
      <c r="N272">
        <v>0.6344827586206897</v>
      </c>
      <c r="O272">
        <v>46</v>
      </c>
      <c r="P272">
        <v>0.06008593430202303</v>
      </c>
      <c r="Q272">
        <v>0.080764927270877</v>
      </c>
      <c r="R272" t="s">
        <v>776</v>
      </c>
      <c r="S272" t="s">
        <v>788</v>
      </c>
      <c r="T272">
        <v>180912.027469</v>
      </c>
      <c r="U272" s="2">
        <v>44408</v>
      </c>
      <c r="V272" t="s">
        <v>797</v>
      </c>
    </row>
    <row r="273" spans="1:22">
      <c r="A273" s="1" t="s">
        <v>293</v>
      </c>
      <c r="B273">
        <f>HYPERLINK("https://www.suredividend.com/sure-analysis-RTX/","Raytheon Technologies Corporation")</f>
        <v>0</v>
      </c>
      <c r="C273">
        <v>90.8</v>
      </c>
      <c r="D273">
        <v>62</v>
      </c>
      <c r="E273">
        <v>1.464516129032258</v>
      </c>
      <c r="F273">
        <v>0.02246696035242291</v>
      </c>
      <c r="G273">
        <v>-0.07346641085296168</v>
      </c>
      <c r="H273">
        <v>0.07000000000000001</v>
      </c>
      <c r="I273">
        <v>0.01848370305335734</v>
      </c>
      <c r="J273" t="s">
        <v>773</v>
      </c>
      <c r="K273" t="s">
        <v>773</v>
      </c>
      <c r="L273">
        <v>3.9</v>
      </c>
      <c r="M273">
        <v>2.04</v>
      </c>
      <c r="N273">
        <v>0.5230769230769231</v>
      </c>
      <c r="O273">
        <v>27</v>
      </c>
      <c r="P273">
        <v>0.06990981876632385</v>
      </c>
      <c r="Q273">
        <v>0.5102086918390261</v>
      </c>
      <c r="R273" t="s">
        <v>776</v>
      </c>
      <c r="S273" t="s">
        <v>783</v>
      </c>
      <c r="T273">
        <v>137096.276034</v>
      </c>
      <c r="U273" s="2">
        <v>44405</v>
      </c>
      <c r="V273" t="s">
        <v>797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178.73</v>
      </c>
      <c r="D274">
        <v>137</v>
      </c>
      <c r="E274">
        <v>1.304598540145985</v>
      </c>
      <c r="F274">
        <v>0.02014211380294299</v>
      </c>
      <c r="G274">
        <v>-0.05178980087905638</v>
      </c>
      <c r="H274">
        <v>0.05</v>
      </c>
      <c r="I274">
        <v>0.01833233043245475</v>
      </c>
      <c r="J274" t="s">
        <v>773</v>
      </c>
      <c r="K274" t="s">
        <v>378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0.222717590427389</v>
      </c>
      <c r="R274" t="s">
        <v>776</v>
      </c>
      <c r="S274" t="s">
        <v>785</v>
      </c>
      <c r="T274">
        <v>37384.38462</v>
      </c>
      <c r="U274" s="2">
        <v>44411</v>
      </c>
      <c r="V274" t="s">
        <v>797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31.57</v>
      </c>
      <c r="D275">
        <v>28</v>
      </c>
      <c r="E275">
        <v>1.1275</v>
      </c>
      <c r="F275">
        <v>0.01140323091542604</v>
      </c>
      <c r="G275">
        <v>-0.02371483547694608</v>
      </c>
      <c r="H275">
        <v>0.03</v>
      </c>
      <c r="I275">
        <v>0.01648676662360282</v>
      </c>
      <c r="J275" t="s">
        <v>773</v>
      </c>
      <c r="K275" t="s">
        <v>486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0.059284225554137</v>
      </c>
      <c r="R275" t="s">
        <v>776</v>
      </c>
      <c r="S275" t="s">
        <v>785</v>
      </c>
      <c r="T275">
        <v>1258.463266</v>
      </c>
      <c r="U275" s="2">
        <v>44430</v>
      </c>
      <c r="V275" t="s">
        <v>799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220.63</v>
      </c>
      <c r="D276">
        <v>137</v>
      </c>
      <c r="E276">
        <v>1.61043795620438</v>
      </c>
      <c r="F276">
        <v>0.01776730272401759</v>
      </c>
      <c r="G276">
        <v>-0.09090095732189318</v>
      </c>
      <c r="H276">
        <v>0.09</v>
      </c>
      <c r="I276">
        <v>0.01386838064464202</v>
      </c>
      <c r="J276" t="s">
        <v>773</v>
      </c>
      <c r="K276" t="s">
        <v>378</v>
      </c>
      <c r="L276">
        <v>8.029999999999999</v>
      </c>
      <c r="M276">
        <v>3.92</v>
      </c>
      <c r="N276">
        <v>0.4881693648816937</v>
      </c>
      <c r="O276">
        <v>12</v>
      </c>
      <c r="P276">
        <v>0.08994918009420316</v>
      </c>
      <c r="Q276">
        <v>0.284305659160918</v>
      </c>
      <c r="R276" t="s">
        <v>776</v>
      </c>
      <c r="S276" t="s">
        <v>783</v>
      </c>
      <c r="T276">
        <v>152384.925771</v>
      </c>
      <c r="U276" s="2">
        <v>44401</v>
      </c>
      <c r="V276" t="s">
        <v>792</v>
      </c>
    </row>
    <row r="277" spans="1:22">
      <c r="A277" s="1" t="s">
        <v>297</v>
      </c>
      <c r="B277">
        <f>HYPERLINK("https://www.suredividend.com/sure-analysis-NC/","Nacco Industries Inc.")</f>
        <v>0</v>
      </c>
      <c r="C277">
        <v>32.99</v>
      </c>
      <c r="D277">
        <v>29</v>
      </c>
      <c r="E277">
        <v>1.137586206896552</v>
      </c>
      <c r="F277">
        <v>0.02394665050015156</v>
      </c>
      <c r="G277">
        <v>-0.02545222008407566</v>
      </c>
      <c r="H277">
        <v>0.01</v>
      </c>
      <c r="I277">
        <v>0.01293615043026675</v>
      </c>
      <c r="J277" t="s">
        <v>773</v>
      </c>
      <c r="K277" t="s">
        <v>378</v>
      </c>
      <c r="L277">
        <v>3.25</v>
      </c>
      <c r="M277">
        <v>0.79</v>
      </c>
      <c r="N277">
        <v>0.2430769230769231</v>
      </c>
      <c r="O277">
        <v>36</v>
      </c>
      <c r="P277">
        <v>0.0585525959968014</v>
      </c>
      <c r="Q277">
        <v>0.7680680924637531</v>
      </c>
      <c r="R277" t="s">
        <v>776</v>
      </c>
      <c r="S277" t="s">
        <v>789</v>
      </c>
      <c r="T277">
        <v>215.1419</v>
      </c>
      <c r="U277" s="2">
        <v>44416</v>
      </c>
      <c r="V277" t="s">
        <v>792</v>
      </c>
    </row>
    <row r="278" spans="1:22">
      <c r="A278" s="1" t="s">
        <v>298</v>
      </c>
      <c r="B278">
        <f>HYPERLINK("https://www.suredividend.com/sure-analysis-NVO/","Novo Nordisk")</f>
        <v>0</v>
      </c>
      <c r="C278">
        <v>103.43</v>
      </c>
      <c r="D278">
        <v>75</v>
      </c>
      <c r="E278">
        <v>1.379066666666667</v>
      </c>
      <c r="F278">
        <v>0.01527603209900416</v>
      </c>
      <c r="G278">
        <v>-0.06225890703591774</v>
      </c>
      <c r="H278">
        <v>0.06</v>
      </c>
      <c r="I278">
        <v>0.01257729164058885</v>
      </c>
      <c r="J278" t="s">
        <v>773</v>
      </c>
      <c r="K278" t="s">
        <v>486</v>
      </c>
      <c r="L278">
        <v>3.4</v>
      </c>
      <c r="M278">
        <v>1.58</v>
      </c>
      <c r="N278">
        <v>0.4647058823529412</v>
      </c>
      <c r="O278">
        <v>0</v>
      </c>
      <c r="P278">
        <v>0.0703829372933884</v>
      </c>
      <c r="Q278">
        <v>0.4695408438731311</v>
      </c>
      <c r="R278" t="s">
        <v>776</v>
      </c>
      <c r="S278" t="s">
        <v>781</v>
      </c>
      <c r="T278">
        <v>181404.19976</v>
      </c>
      <c r="U278" s="2">
        <v>44426</v>
      </c>
      <c r="V278" t="s">
        <v>799</v>
      </c>
    </row>
    <row r="279" spans="1:22">
      <c r="A279" s="1" t="s">
        <v>299</v>
      </c>
      <c r="B279">
        <f>HYPERLINK("https://www.suredividend.com/sure-analysis-RMD/","Resmed Inc.")</f>
        <v>0</v>
      </c>
      <c r="C279">
        <v>256.99</v>
      </c>
      <c r="D279">
        <v>148</v>
      </c>
      <c r="E279">
        <v>1.736418918918919</v>
      </c>
      <c r="F279">
        <v>0.006537219347056305</v>
      </c>
      <c r="G279">
        <v>-0.1044927665626195</v>
      </c>
      <c r="H279">
        <v>0.12</v>
      </c>
      <c r="I279">
        <v>0.01150715222743881</v>
      </c>
      <c r="J279" t="s">
        <v>773</v>
      </c>
      <c r="K279" t="s">
        <v>486</v>
      </c>
      <c r="L279">
        <v>6.15</v>
      </c>
      <c r="M279">
        <v>1.68</v>
      </c>
      <c r="N279">
        <v>0.273170731707317</v>
      </c>
      <c r="O279">
        <v>1</v>
      </c>
      <c r="P279">
        <v>0.1003529239440031</v>
      </c>
      <c r="Q279">
        <v>0.423434606358962</v>
      </c>
      <c r="R279" t="s">
        <v>776</v>
      </c>
      <c r="S279" t="s">
        <v>781</v>
      </c>
      <c r="T279">
        <v>37220.086211</v>
      </c>
      <c r="U279" s="2">
        <v>44417</v>
      </c>
      <c r="V279" t="s">
        <v>794</v>
      </c>
    </row>
    <row r="280" spans="1:22">
      <c r="A280" s="1" t="s">
        <v>300</v>
      </c>
      <c r="B280">
        <f>HYPERLINK("https://www.suredividend.com/sure-analysis-AJG/","Arthur J. Gallagher &amp; Co.")</f>
        <v>0</v>
      </c>
      <c r="C280">
        <v>160.61</v>
      </c>
      <c r="D280">
        <v>123</v>
      </c>
      <c r="E280">
        <v>1.305772357723577</v>
      </c>
      <c r="F280">
        <v>0.01195442375941722</v>
      </c>
      <c r="G280">
        <v>-0.0519603399822931</v>
      </c>
      <c r="H280">
        <v>0.05</v>
      </c>
      <c r="I280">
        <v>0.009182893913048717</v>
      </c>
      <c r="J280" t="s">
        <v>773</v>
      </c>
      <c r="K280" t="s">
        <v>486</v>
      </c>
      <c r="L280">
        <v>5.35</v>
      </c>
      <c r="M280">
        <v>1.92</v>
      </c>
      <c r="N280">
        <v>0.3588785046728972</v>
      </c>
      <c r="O280">
        <v>11</v>
      </c>
      <c r="P280">
        <v>0.04996052445273014</v>
      </c>
      <c r="Q280">
        <v>0.519224419517855</v>
      </c>
      <c r="R280" t="s">
        <v>776</v>
      </c>
      <c r="S280" t="s">
        <v>786</v>
      </c>
      <c r="T280">
        <v>33675.44</v>
      </c>
      <c r="U280" s="2">
        <v>44413</v>
      </c>
      <c r="V280" t="s">
        <v>795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46.72</v>
      </c>
      <c r="D281">
        <v>30</v>
      </c>
      <c r="E281">
        <v>1.557333333333333</v>
      </c>
      <c r="F281">
        <v>0.02226027397260274</v>
      </c>
      <c r="G281">
        <v>-0.08478383103246301</v>
      </c>
      <c r="H281">
        <v>0.07000000000000001</v>
      </c>
      <c r="I281">
        <v>0.006615649949555769</v>
      </c>
      <c r="J281" t="s">
        <v>773</v>
      </c>
      <c r="K281" t="s">
        <v>378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0.159341021577709</v>
      </c>
      <c r="R281" t="s">
        <v>776</v>
      </c>
      <c r="S281" t="s">
        <v>787</v>
      </c>
      <c r="T281">
        <v>11668.561305</v>
      </c>
      <c r="U281" s="2">
        <v>44431</v>
      </c>
      <c r="V281" t="s">
        <v>796</v>
      </c>
    </row>
    <row r="282" spans="1:22">
      <c r="A282" s="1" t="s">
        <v>302</v>
      </c>
      <c r="B282">
        <f>HYPERLINK("https://www.suredividend.com/sure-analysis-TT/","Trane Technologies plc")</f>
        <v>0</v>
      </c>
      <c r="C282">
        <v>175.66</v>
      </c>
      <c r="D282">
        <v>121</v>
      </c>
      <c r="E282">
        <v>1.451735537190083</v>
      </c>
      <c r="F282">
        <v>0.01343504497324377</v>
      </c>
      <c r="G282">
        <v>-0.07184074745999991</v>
      </c>
      <c r="H282">
        <v>0.06</v>
      </c>
      <c r="I282">
        <v>0.0004232113103941337</v>
      </c>
      <c r="J282" t="s">
        <v>773</v>
      </c>
      <c r="K282" t="s">
        <v>486</v>
      </c>
      <c r="L282">
        <v>6.05</v>
      </c>
      <c r="M282">
        <v>2.36</v>
      </c>
      <c r="N282">
        <v>0.3900826446280992</v>
      </c>
      <c r="O282">
        <v>1</v>
      </c>
      <c r="P282">
        <v>0.0601199707922162</v>
      </c>
      <c r="Q282">
        <v>0.344290589270552</v>
      </c>
      <c r="R282" t="s">
        <v>776</v>
      </c>
      <c r="S282" t="s">
        <v>783</v>
      </c>
      <c r="T282">
        <v>41343.914322</v>
      </c>
      <c r="U282" s="2">
        <v>44417</v>
      </c>
      <c r="V282" t="s">
        <v>797</v>
      </c>
    </row>
    <row r="283" spans="1:22">
      <c r="A283" s="1" t="s">
        <v>303</v>
      </c>
      <c r="B283">
        <f>HYPERLINK("https://www.suredividend.com/sure-analysis-CNI/","Canadian National Railway Co.")</f>
        <v>0</v>
      </c>
      <c r="C283">
        <v>123.53</v>
      </c>
      <c r="D283">
        <v>79</v>
      </c>
      <c r="E283">
        <v>1.563670886075949</v>
      </c>
      <c r="F283">
        <v>0.0165142070752044</v>
      </c>
      <c r="G283">
        <v>-0.08552691028931347</v>
      </c>
      <c r="H283">
        <v>0.07000000000000001</v>
      </c>
      <c r="I283">
        <v>-0.0002900030765883299</v>
      </c>
      <c r="J283" t="s">
        <v>773</v>
      </c>
      <c r="K283" t="s">
        <v>378</v>
      </c>
      <c r="L283">
        <v>4.4</v>
      </c>
      <c r="M283">
        <v>2.04</v>
      </c>
      <c r="N283">
        <v>0.4636363636363636</v>
      </c>
      <c r="O283">
        <v>26</v>
      </c>
      <c r="P283">
        <v>0.06990981876632385</v>
      </c>
      <c r="Q283">
        <v>0.111781677939438</v>
      </c>
      <c r="R283" t="s">
        <v>776</v>
      </c>
      <c r="S283" t="s">
        <v>783</v>
      </c>
      <c r="T283">
        <v>86985.725328</v>
      </c>
      <c r="U283" s="2">
        <v>44401</v>
      </c>
      <c r="V283" t="s">
        <v>792</v>
      </c>
    </row>
    <row r="284" spans="1:22">
      <c r="A284" s="1" t="s">
        <v>304</v>
      </c>
      <c r="B284">
        <f>HYPERLINK("https://www.suredividend.com/sure-analysis-ERIE/","Erie Indemnity Co.")</f>
        <v>0</v>
      </c>
      <c r="C284">
        <v>194.9</v>
      </c>
      <c r="D284">
        <v>129</v>
      </c>
      <c r="E284">
        <v>1.510852713178295</v>
      </c>
      <c r="F284">
        <v>0.02124166239096973</v>
      </c>
      <c r="G284">
        <v>-0.0792206430511192</v>
      </c>
      <c r="H284">
        <v>0.055</v>
      </c>
      <c r="I284">
        <v>-0.002364110718657386</v>
      </c>
      <c r="J284" t="s">
        <v>773</v>
      </c>
      <c r="K284" t="s">
        <v>378</v>
      </c>
      <c r="L284">
        <v>5.85</v>
      </c>
      <c r="M284">
        <v>4.14</v>
      </c>
      <c r="N284">
        <v>0.7076923076923077</v>
      </c>
      <c r="O284">
        <v>31</v>
      </c>
      <c r="P284">
        <v>0.04984870359842875</v>
      </c>
      <c r="Q284">
        <v>-0.126713643718387</v>
      </c>
      <c r="R284" t="s">
        <v>776</v>
      </c>
      <c r="S284" t="s">
        <v>786</v>
      </c>
      <c r="T284">
        <v>8981.926163</v>
      </c>
      <c r="U284" s="2">
        <v>44408</v>
      </c>
      <c r="V284" t="s">
        <v>794</v>
      </c>
    </row>
    <row r="285" spans="1:22">
      <c r="A285" s="1" t="s">
        <v>305</v>
      </c>
      <c r="B285">
        <f>HYPERLINK("https://www.suredividend.com/sure-analysis-FRT/","Federal Realty Investment Trust")</f>
        <v>0</v>
      </c>
      <c r="C285">
        <v>123.71</v>
      </c>
      <c r="D285">
        <v>73.5</v>
      </c>
      <c r="E285">
        <v>1.68312925170068</v>
      </c>
      <c r="F285">
        <v>0.03459704146794924</v>
      </c>
      <c r="G285">
        <v>-0.0988927032141258</v>
      </c>
      <c r="H285">
        <v>0.063</v>
      </c>
      <c r="I285">
        <v>-0.003082642699175131</v>
      </c>
      <c r="J285" t="s">
        <v>773</v>
      </c>
      <c r="K285" t="s">
        <v>773</v>
      </c>
      <c r="L285">
        <v>4.9</v>
      </c>
      <c r="M285">
        <v>4.28</v>
      </c>
      <c r="N285">
        <v>0.8734693877551021</v>
      </c>
      <c r="O285">
        <v>54</v>
      </c>
      <c r="P285">
        <v>0.0100752948556313</v>
      </c>
      <c r="Q285">
        <v>0.736261305716657</v>
      </c>
      <c r="R285" t="s">
        <v>778</v>
      </c>
      <c r="S285" t="s">
        <v>790</v>
      </c>
      <c r="T285">
        <v>9645.582404000001</v>
      </c>
      <c r="U285" s="2">
        <v>44421</v>
      </c>
      <c r="V285" t="s">
        <v>800</v>
      </c>
    </row>
    <row r="286" spans="1:22">
      <c r="A286" s="1" t="s">
        <v>306</v>
      </c>
      <c r="B286">
        <f>HYPERLINK("https://www.suredividend.com/sure-analysis-NEE/","NextEra Energy Inc")</f>
        <v>0</v>
      </c>
      <c r="C286">
        <v>80.98999999999999</v>
      </c>
      <c r="D286">
        <v>49</v>
      </c>
      <c r="E286">
        <v>1.652857142857143</v>
      </c>
      <c r="F286">
        <v>0.01901469317199654</v>
      </c>
      <c r="G286">
        <v>-0.09561586290278967</v>
      </c>
      <c r="H286">
        <v>0.07000000000000001</v>
      </c>
      <c r="I286">
        <v>-0.006289652322564732</v>
      </c>
      <c r="J286" t="s">
        <v>773</v>
      </c>
      <c r="K286" t="s">
        <v>378</v>
      </c>
      <c r="L286">
        <v>2.47</v>
      </c>
      <c r="M286">
        <v>1.54</v>
      </c>
      <c r="N286">
        <v>0.6234817813765182</v>
      </c>
      <c r="O286">
        <v>25</v>
      </c>
      <c r="P286">
        <v>0.07973590558946508</v>
      </c>
      <c r="Q286">
        <v>0.08456758727203401</v>
      </c>
      <c r="R286" t="s">
        <v>776</v>
      </c>
      <c r="S286" t="s">
        <v>787</v>
      </c>
      <c r="T286">
        <v>159997.24298</v>
      </c>
      <c r="U286" s="2">
        <v>44401</v>
      </c>
      <c r="V286" t="s">
        <v>801</v>
      </c>
    </row>
    <row r="287" spans="1:22">
      <c r="A287" s="1" t="s">
        <v>307</v>
      </c>
      <c r="B287">
        <f>HYPERLINK("https://www.suredividend.com/sure-analysis-CFR/","Cullen Frost Bankers Inc.")</f>
        <v>0</v>
      </c>
      <c r="C287">
        <v>123.72</v>
      </c>
      <c r="D287">
        <v>83</v>
      </c>
      <c r="E287">
        <v>1.490602409638554</v>
      </c>
      <c r="F287">
        <v>0.02424830261881668</v>
      </c>
      <c r="G287">
        <v>-0.07673231290375748</v>
      </c>
      <c r="H287">
        <v>0.04</v>
      </c>
      <c r="I287">
        <v>-0.009622071422633716</v>
      </c>
      <c r="J287" t="s">
        <v>773</v>
      </c>
      <c r="K287" t="s">
        <v>773</v>
      </c>
      <c r="L287">
        <v>6.4</v>
      </c>
      <c r="M287">
        <v>3</v>
      </c>
      <c r="N287">
        <v>0.46875</v>
      </c>
      <c r="O287">
        <v>28</v>
      </c>
      <c r="P287">
        <v>0.04000235313991807</v>
      </c>
      <c r="Q287">
        <v>0.8355759739344051</v>
      </c>
      <c r="R287" t="s">
        <v>776</v>
      </c>
      <c r="S287" t="s">
        <v>786</v>
      </c>
      <c r="T287">
        <v>7858.011303</v>
      </c>
      <c r="U287" s="2">
        <v>44413</v>
      </c>
      <c r="V287" t="s">
        <v>797</v>
      </c>
    </row>
    <row r="288" spans="1:22">
      <c r="A288" s="1" t="s">
        <v>308</v>
      </c>
      <c r="B288">
        <f>HYPERLINK("https://www.suredividend.com/sure-analysis-OTIS/","Otis Worldwide Corp")</f>
        <v>0</v>
      </c>
      <c r="C288">
        <v>83.31999999999999</v>
      </c>
      <c r="D288">
        <v>52</v>
      </c>
      <c r="E288">
        <v>1.602307692307692</v>
      </c>
      <c r="F288">
        <v>0.01152184349495919</v>
      </c>
      <c r="G288">
        <v>-0.08998025286858025</v>
      </c>
      <c r="H288">
        <v>0.07000000000000001</v>
      </c>
      <c r="I288">
        <v>-0.01096864486097704</v>
      </c>
      <c r="J288" t="s">
        <v>773</v>
      </c>
      <c r="K288" t="s">
        <v>486</v>
      </c>
      <c r="L288">
        <v>2.91</v>
      </c>
      <c r="M288">
        <v>0.96</v>
      </c>
      <c r="N288">
        <v>0.3298969072164948</v>
      </c>
      <c r="O288">
        <v>1</v>
      </c>
      <c r="P288">
        <v>0.07056368416916192</v>
      </c>
      <c r="Q288">
        <v>0.308641860045343</v>
      </c>
      <c r="R288" t="s">
        <v>776</v>
      </c>
      <c r="S288" t="s">
        <v>783</v>
      </c>
      <c r="T288">
        <v>35892.085811</v>
      </c>
      <c r="U288" s="2">
        <v>44403</v>
      </c>
      <c r="V288" t="s">
        <v>797</v>
      </c>
    </row>
    <row r="289" spans="1:22">
      <c r="A289" s="1" t="s">
        <v>309</v>
      </c>
      <c r="B289">
        <f>HYPERLINK("https://www.suredividend.com/sure-analysis-ESS/","Essex Property Trust, Inc.")</f>
        <v>0</v>
      </c>
      <c r="C289">
        <v>333.02</v>
      </c>
      <c r="D289">
        <v>221</v>
      </c>
      <c r="E289">
        <v>1.506877828054298</v>
      </c>
      <c r="F289">
        <v>0.02510359738153865</v>
      </c>
      <c r="G289">
        <v>-0.07873538320740847</v>
      </c>
      <c r="H289">
        <v>0.041</v>
      </c>
      <c r="I289">
        <v>-0.01177070904508015</v>
      </c>
      <c r="J289" t="s">
        <v>773</v>
      </c>
      <c r="K289" t="s">
        <v>378</v>
      </c>
      <c r="L289">
        <v>12.27</v>
      </c>
      <c r="M289">
        <v>8.359999999999999</v>
      </c>
      <c r="N289">
        <v>0.6813365933170334</v>
      </c>
      <c r="O289">
        <v>26</v>
      </c>
      <c r="P289">
        <v>0.01486259611873031</v>
      </c>
      <c r="Q289">
        <v>0.6983313941215871</v>
      </c>
      <c r="R289" t="s">
        <v>778</v>
      </c>
      <c r="S289" t="s">
        <v>790</v>
      </c>
      <c r="T289">
        <v>21662.445196</v>
      </c>
      <c r="U289" s="2">
        <v>44411</v>
      </c>
      <c r="V289" t="s">
        <v>800</v>
      </c>
    </row>
    <row r="290" spans="1:22">
      <c r="A290" s="1" t="s">
        <v>310</v>
      </c>
      <c r="B290">
        <f>HYPERLINK("https://www.suredividend.com/sure-analysis-APD/","Air Products &amp; Chemicals Inc.")</f>
        <v>0</v>
      </c>
      <c r="C290">
        <v>292.54</v>
      </c>
      <c r="D290">
        <v>171</v>
      </c>
      <c r="E290">
        <v>1.710760233918129</v>
      </c>
      <c r="F290">
        <v>0.02051001572434539</v>
      </c>
      <c r="G290">
        <v>-0.1018225016605485</v>
      </c>
      <c r="H290">
        <v>0.06</v>
      </c>
      <c r="I290">
        <v>-0.01901157240221563</v>
      </c>
      <c r="J290" t="s">
        <v>773</v>
      </c>
      <c r="K290" t="s">
        <v>378</v>
      </c>
      <c r="L290">
        <v>9</v>
      </c>
      <c r="M290">
        <v>6</v>
      </c>
      <c r="N290">
        <v>0.6666666666666666</v>
      </c>
      <c r="O290">
        <v>39</v>
      </c>
      <c r="P290">
        <v>0.07011922960697747</v>
      </c>
      <c r="Q290">
        <v>0.002863660565427</v>
      </c>
      <c r="R290" t="s">
        <v>776</v>
      </c>
      <c r="S290" t="s">
        <v>782</v>
      </c>
      <c r="T290">
        <v>64793.435982</v>
      </c>
      <c r="U290" s="2">
        <v>44433</v>
      </c>
      <c r="V290" t="s">
        <v>794</v>
      </c>
    </row>
    <row r="291" spans="1:22">
      <c r="A291" s="1" t="s">
        <v>311</v>
      </c>
      <c r="B291">
        <f>HYPERLINK("https://www.suredividend.com/sure-analysis-UMBF/","UMB Financial Corp.")</f>
        <v>0</v>
      </c>
      <c r="C291">
        <v>99.42</v>
      </c>
      <c r="D291">
        <v>94</v>
      </c>
      <c r="E291">
        <v>1.057659574468085</v>
      </c>
      <c r="F291">
        <v>0.01488634077650372</v>
      </c>
      <c r="G291">
        <v>-0.01114908676219273</v>
      </c>
      <c r="H291">
        <v>-0.03</v>
      </c>
      <c r="I291">
        <v>-0.02228149839770011</v>
      </c>
      <c r="J291" t="s">
        <v>773</v>
      </c>
      <c r="K291" t="s">
        <v>486</v>
      </c>
      <c r="L291">
        <v>7.2</v>
      </c>
      <c r="M291">
        <v>1.48</v>
      </c>
      <c r="N291">
        <v>0.2055555555555555</v>
      </c>
      <c r="O291">
        <v>30</v>
      </c>
      <c r="P291">
        <v>0.03051269507716325</v>
      </c>
      <c r="Q291">
        <v>0.8130301324082311</v>
      </c>
      <c r="R291" t="s">
        <v>776</v>
      </c>
      <c r="S291" t="s">
        <v>786</v>
      </c>
      <c r="T291">
        <v>4826.050844</v>
      </c>
      <c r="U291" s="2">
        <v>44407</v>
      </c>
      <c r="V291" t="s">
        <v>795</v>
      </c>
    </row>
    <row r="292" spans="1:22">
      <c r="A292" s="1" t="s">
        <v>312</v>
      </c>
      <c r="B292">
        <f>HYPERLINK("https://www.suredividend.com/sure-analysis-WM/","Waste Management, Inc.")</f>
        <v>0</v>
      </c>
      <c r="C292">
        <v>157.16</v>
      </c>
      <c r="D292">
        <v>99</v>
      </c>
      <c r="E292">
        <v>1.587474747474747</v>
      </c>
      <c r="F292">
        <v>0.01463476711631458</v>
      </c>
      <c r="G292">
        <v>-0.08828597659670068</v>
      </c>
      <c r="H292">
        <v>0.05</v>
      </c>
      <c r="I292">
        <v>-0.02326549543796275</v>
      </c>
      <c r="J292" t="s">
        <v>773</v>
      </c>
      <c r="K292" t="s">
        <v>486</v>
      </c>
      <c r="L292">
        <v>4.9</v>
      </c>
      <c r="M292">
        <v>2.3</v>
      </c>
      <c r="N292">
        <v>0.4693877551020407</v>
      </c>
      <c r="O292">
        <v>18</v>
      </c>
      <c r="P292">
        <v>0.05032547432346712</v>
      </c>
      <c r="Q292">
        <v>0.388718168440793</v>
      </c>
      <c r="R292" t="s">
        <v>776</v>
      </c>
      <c r="S292" t="s">
        <v>783</v>
      </c>
      <c r="T292">
        <v>66605.22487599999</v>
      </c>
      <c r="U292" s="2">
        <v>44406</v>
      </c>
      <c r="V292" t="s">
        <v>797</v>
      </c>
    </row>
    <row r="293" spans="1:22">
      <c r="A293" s="1" t="s">
        <v>313</v>
      </c>
      <c r="B293">
        <f>HYPERLINK("https://www.suredividend.com/sure-analysis-ROK/","Rockwell Automation Inc")</f>
        <v>0</v>
      </c>
      <c r="C293">
        <v>314.99</v>
      </c>
      <c r="D293">
        <v>184</v>
      </c>
      <c r="E293">
        <v>1.711902173913044</v>
      </c>
      <c r="F293">
        <v>0.01358773294390298</v>
      </c>
      <c r="G293">
        <v>-0.1019423611484023</v>
      </c>
      <c r="H293">
        <v>0.065</v>
      </c>
      <c r="I293">
        <v>-0.02437711608879878</v>
      </c>
      <c r="J293" t="s">
        <v>773</v>
      </c>
      <c r="K293" t="s">
        <v>486</v>
      </c>
      <c r="L293">
        <v>9.199999999999999</v>
      </c>
      <c r="M293">
        <v>4.28</v>
      </c>
      <c r="N293">
        <v>0.4652173913043479</v>
      </c>
      <c r="O293">
        <v>11</v>
      </c>
      <c r="P293">
        <v>0.06989583356549334</v>
      </c>
      <c r="Q293">
        <v>0.282503420553362</v>
      </c>
      <c r="R293" t="s">
        <v>776</v>
      </c>
      <c r="S293" t="s">
        <v>783</v>
      </c>
      <c r="T293">
        <v>36455.281852</v>
      </c>
      <c r="U293" s="2">
        <v>44404</v>
      </c>
      <c r="V293" t="s">
        <v>794</v>
      </c>
    </row>
    <row r="294" spans="1:22">
      <c r="A294" s="1" t="s">
        <v>314</v>
      </c>
      <c r="B294">
        <f>HYPERLINK("https://www.suredividend.com/sure-analysis-TSCO/","Tractor Supply Co.")</f>
        <v>0</v>
      </c>
      <c r="C294">
        <v>204.5</v>
      </c>
      <c r="D294">
        <v>151</v>
      </c>
      <c r="E294">
        <v>1.354304635761589</v>
      </c>
      <c r="F294">
        <v>0.01017114914425428</v>
      </c>
      <c r="G294">
        <v>-0.05885459329172926</v>
      </c>
      <c r="H294">
        <v>0.019</v>
      </c>
      <c r="I294">
        <v>-0.0263652254915866</v>
      </c>
      <c r="J294" t="s">
        <v>773</v>
      </c>
      <c r="K294" t="s">
        <v>486</v>
      </c>
      <c r="L294">
        <v>7.97</v>
      </c>
      <c r="M294">
        <v>2.08</v>
      </c>
      <c r="N294">
        <v>0.260978670012547</v>
      </c>
      <c r="O294">
        <v>10</v>
      </c>
      <c r="P294">
        <v>0.07599829696383686</v>
      </c>
      <c r="Q294">
        <v>0.303603395831667</v>
      </c>
      <c r="R294" t="s">
        <v>776</v>
      </c>
      <c r="S294" t="s">
        <v>788</v>
      </c>
      <c r="T294">
        <v>22555.525713</v>
      </c>
      <c r="U294" s="2">
        <v>44415</v>
      </c>
      <c r="V294" t="s">
        <v>800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74.25</v>
      </c>
      <c r="D295">
        <v>46.2</v>
      </c>
      <c r="E295">
        <v>1.607142857142857</v>
      </c>
      <c r="F295">
        <v>0.009696969696969697</v>
      </c>
      <c r="G295">
        <v>-0.09052848045112638</v>
      </c>
      <c r="H295">
        <v>0.043</v>
      </c>
      <c r="I295">
        <v>-0.03694628491815444</v>
      </c>
      <c r="J295" t="s">
        <v>773</v>
      </c>
      <c r="K295" t="s">
        <v>486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0.357277471730936</v>
      </c>
      <c r="R295" t="s">
        <v>776</v>
      </c>
      <c r="S295" t="s">
        <v>788</v>
      </c>
      <c r="T295">
        <v>48689.179795</v>
      </c>
      <c r="U295" s="2">
        <v>44430</v>
      </c>
      <c r="V295" t="s">
        <v>800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70.59999999999999</v>
      </c>
      <c r="D296">
        <v>54</v>
      </c>
      <c r="E296">
        <v>1.307407407407407</v>
      </c>
      <c r="F296">
        <v>0.02436260623229462</v>
      </c>
      <c r="G296">
        <v>-0.05219758323803292</v>
      </c>
      <c r="H296">
        <v>-0.02</v>
      </c>
      <c r="I296">
        <v>-0.03961815851861183</v>
      </c>
      <c r="J296" t="s">
        <v>773</v>
      </c>
      <c r="K296" t="s">
        <v>773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0.265162477446093</v>
      </c>
      <c r="R296" t="s">
        <v>776</v>
      </c>
      <c r="S296" t="s">
        <v>786</v>
      </c>
      <c r="T296">
        <v>3818.477151</v>
      </c>
      <c r="U296" s="2">
        <v>44404</v>
      </c>
      <c r="V296" t="s">
        <v>795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238.98</v>
      </c>
      <c r="D297">
        <v>138</v>
      </c>
      <c r="E297">
        <v>1.731739130434782</v>
      </c>
      <c r="F297">
        <v>0.01422713197757135</v>
      </c>
      <c r="G297">
        <v>-0.1040092916919453</v>
      </c>
      <c r="H297">
        <v>0.04</v>
      </c>
      <c r="I297">
        <v>-0.04780958470511198</v>
      </c>
      <c r="J297" t="s">
        <v>773</v>
      </c>
      <c r="K297" t="s">
        <v>486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0.6557653529638181</v>
      </c>
      <c r="R297" t="s">
        <v>776</v>
      </c>
      <c r="S297" t="s">
        <v>781</v>
      </c>
      <c r="T297">
        <v>228132.973094</v>
      </c>
      <c r="U297" s="2">
        <v>44419</v>
      </c>
      <c r="V297" t="s">
        <v>792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125.09</v>
      </c>
      <c r="D298">
        <v>58</v>
      </c>
      <c r="E298">
        <v>2.156724137931035</v>
      </c>
      <c r="F298">
        <v>0.008953553441522105</v>
      </c>
      <c r="G298">
        <v>-0.14248627439701</v>
      </c>
      <c r="H298">
        <v>0.09</v>
      </c>
      <c r="I298">
        <v>-0.05028945590162148</v>
      </c>
      <c r="J298" t="s">
        <v>773</v>
      </c>
      <c r="K298" t="s">
        <v>486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0.376358946112384</v>
      </c>
      <c r="R298" t="s">
        <v>776</v>
      </c>
      <c r="S298" t="s">
        <v>783</v>
      </c>
      <c r="T298">
        <v>22464.523722</v>
      </c>
      <c r="U298" s="2">
        <v>44417</v>
      </c>
      <c r="V298" t="s">
        <v>794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14.6</v>
      </c>
      <c r="D299">
        <v>36</v>
      </c>
      <c r="E299">
        <v>0.4055555555555556</v>
      </c>
      <c r="F299">
        <v>0.0821917808219178</v>
      </c>
      <c r="G299">
        <v>0.1978155009500457</v>
      </c>
      <c r="H299">
        <v>0.01</v>
      </c>
      <c r="I299">
        <v>0.2490983166669221</v>
      </c>
      <c r="J299" t="s">
        <v>378</v>
      </c>
      <c r="K299" t="s">
        <v>772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0.5543006173034251</v>
      </c>
      <c r="R299" t="s">
        <v>776</v>
      </c>
      <c r="S299" t="s">
        <v>782</v>
      </c>
      <c r="T299">
        <v>75857.735122</v>
      </c>
      <c r="U299" s="2">
        <v>44406</v>
      </c>
      <c r="V299" t="s">
        <v>794</v>
      </c>
    </row>
    <row r="300" spans="1:22">
      <c r="A300" s="1" t="s">
        <v>320</v>
      </c>
      <c r="B300">
        <f>HYPERLINK("https://www.suredividend.com/sure-analysis-MCHP/","Microchip Technology, Inc.")</f>
        <v>0</v>
      </c>
      <c r="C300">
        <v>73.81</v>
      </c>
      <c r="D300">
        <v>144</v>
      </c>
      <c r="E300">
        <v>0.5125694444444444</v>
      </c>
      <c r="F300">
        <v>0.02370952445468094</v>
      </c>
      <c r="G300">
        <v>0.1430084929171842</v>
      </c>
      <c r="H300">
        <v>0.08</v>
      </c>
      <c r="I300">
        <v>0.2460646572926337</v>
      </c>
      <c r="J300" t="s">
        <v>378</v>
      </c>
      <c r="K300" t="s">
        <v>378</v>
      </c>
      <c r="L300">
        <v>8.49</v>
      </c>
      <c r="M300">
        <v>1.75</v>
      </c>
      <c r="N300">
        <v>0.2061248527679623</v>
      </c>
      <c r="O300">
        <v>19</v>
      </c>
      <c r="P300">
        <v>0.04967139653467445</v>
      </c>
      <c r="Q300">
        <v>1.657086842710535</v>
      </c>
      <c r="R300" t="s">
        <v>776</v>
      </c>
      <c r="S300" t="s">
        <v>784</v>
      </c>
      <c r="T300">
        <v>19944.643645</v>
      </c>
      <c r="U300" s="2">
        <v>44418</v>
      </c>
      <c r="V300" t="s">
        <v>791</v>
      </c>
    </row>
    <row r="301" spans="1:22">
      <c r="A301" s="1" t="s">
        <v>321</v>
      </c>
      <c r="B301">
        <f>HYPERLINK("https://www.suredividend.com/sure-analysis-HMLP/","Hoegh LNG Partners LP")</f>
        <v>0</v>
      </c>
      <c r="C301">
        <v>5.39</v>
      </c>
      <c r="D301">
        <v>12</v>
      </c>
      <c r="E301">
        <v>0.4491666666666667</v>
      </c>
      <c r="F301">
        <v>0.007421150278293136</v>
      </c>
      <c r="G301">
        <v>0.1735956637048048</v>
      </c>
      <c r="H301">
        <v>0</v>
      </c>
      <c r="I301">
        <v>0.2185292520571644</v>
      </c>
      <c r="J301" t="s">
        <v>378</v>
      </c>
      <c r="K301" t="s">
        <v>486</v>
      </c>
      <c r="L301">
        <v>2</v>
      </c>
      <c r="M301">
        <v>0.04</v>
      </c>
      <c r="N301">
        <v>0.02</v>
      </c>
      <c r="O301">
        <v>0</v>
      </c>
      <c r="P301">
        <v>1</v>
      </c>
      <c r="Q301">
        <v>-0.477769122017369</v>
      </c>
      <c r="R301" t="s">
        <v>777</v>
      </c>
      <c r="S301" t="s">
        <v>789</v>
      </c>
      <c r="T301">
        <v>181.150458</v>
      </c>
      <c r="U301" s="2">
        <v>44437</v>
      </c>
      <c r="V301" t="s">
        <v>791</v>
      </c>
    </row>
    <row r="302" spans="1:22">
      <c r="A302" s="1" t="s">
        <v>322</v>
      </c>
      <c r="B302">
        <f>HYPERLINK("https://www.suredividend.com/sure-analysis-VTRS/","Viatris Inc")</f>
        <v>0</v>
      </c>
      <c r="C302">
        <v>13.49</v>
      </c>
      <c r="D302">
        <v>29</v>
      </c>
      <c r="E302">
        <v>0.4651724137931035</v>
      </c>
      <c r="F302">
        <v>0.01630837657524092</v>
      </c>
      <c r="G302">
        <v>0.1654058925412893</v>
      </c>
      <c r="H302">
        <v>0.02</v>
      </c>
      <c r="I302">
        <v>0.1972000525968467</v>
      </c>
      <c r="J302" t="s">
        <v>378</v>
      </c>
      <c r="K302" t="s">
        <v>486</v>
      </c>
      <c r="L302">
        <v>3.8</v>
      </c>
      <c r="M302">
        <v>0.22</v>
      </c>
      <c r="N302">
        <v>0.05789473684210526</v>
      </c>
      <c r="O302">
        <v>0</v>
      </c>
      <c r="P302">
        <v>0.01755457717558762</v>
      </c>
      <c r="Q302">
        <v>-0.164141288687962</v>
      </c>
      <c r="R302" t="s">
        <v>776</v>
      </c>
      <c r="S302" t="s">
        <v>781</v>
      </c>
      <c r="T302">
        <v>16277.049592</v>
      </c>
      <c r="U302" s="2">
        <v>44479</v>
      </c>
      <c r="V302" t="s">
        <v>802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5.12</v>
      </c>
      <c r="D303">
        <v>9.17</v>
      </c>
      <c r="E303">
        <v>0.5583424209378408</v>
      </c>
      <c r="F303">
        <v>0.03515625</v>
      </c>
      <c r="G303">
        <v>0.1236210712879726</v>
      </c>
      <c r="H303">
        <v>0.04</v>
      </c>
      <c r="I303">
        <v>0.1891293268027354</v>
      </c>
      <c r="J303" t="s">
        <v>378</v>
      </c>
      <c r="K303" t="s">
        <v>773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0.665496777487078</v>
      </c>
      <c r="R303" t="s">
        <v>776</v>
      </c>
      <c r="S303" t="s">
        <v>784</v>
      </c>
      <c r="T303">
        <v>1752.044464</v>
      </c>
      <c r="U303" s="2">
        <v>44384</v>
      </c>
      <c r="V303" t="s">
        <v>792</v>
      </c>
    </row>
    <row r="304" spans="1:22">
      <c r="A304" s="1" t="s">
        <v>324</v>
      </c>
      <c r="B304">
        <f>HYPERLINK("https://www.suredividend.com/sure-analysis-FL/","Foot Locker Inc")</f>
        <v>0</v>
      </c>
      <c r="C304">
        <v>47.54</v>
      </c>
      <c r="D304">
        <v>86</v>
      </c>
      <c r="E304">
        <v>0.5527906976744186</v>
      </c>
      <c r="F304">
        <v>0.02524190155658393</v>
      </c>
      <c r="G304">
        <v>0.1258689830501902</v>
      </c>
      <c r="H304">
        <v>0.03</v>
      </c>
      <c r="I304">
        <v>0.1805049036290933</v>
      </c>
      <c r="J304" t="s">
        <v>378</v>
      </c>
      <c r="K304" t="s">
        <v>486</v>
      </c>
      <c r="L304">
        <v>7.15</v>
      </c>
      <c r="M304">
        <v>1.2</v>
      </c>
      <c r="N304">
        <v>0.1678321678321678</v>
      </c>
      <c r="O304">
        <v>0</v>
      </c>
      <c r="P304">
        <v>0.1496540121887568</v>
      </c>
      <c r="Q304">
        <v>0.27051138016337</v>
      </c>
      <c r="R304" t="s">
        <v>776</v>
      </c>
      <c r="S304" t="s">
        <v>788</v>
      </c>
      <c r="T304">
        <v>4942.283597</v>
      </c>
      <c r="U304" s="2">
        <v>44437</v>
      </c>
      <c r="V304" t="s">
        <v>795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97.37</v>
      </c>
      <c r="D305">
        <v>130</v>
      </c>
      <c r="E305">
        <v>0.749</v>
      </c>
      <c r="F305">
        <v>0.01766457841224196</v>
      </c>
      <c r="G305">
        <v>0.05950652692869363</v>
      </c>
      <c r="H305">
        <v>0.09</v>
      </c>
      <c r="I305">
        <v>0.1673987857845591</v>
      </c>
      <c r="J305" t="s">
        <v>378</v>
      </c>
      <c r="K305" t="s">
        <v>486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0.139530908613109</v>
      </c>
      <c r="R305" t="s">
        <v>776</v>
      </c>
      <c r="S305" t="s">
        <v>788</v>
      </c>
      <c r="T305">
        <v>2123.811606</v>
      </c>
      <c r="U305" s="2">
        <v>44431</v>
      </c>
      <c r="V305" t="s">
        <v>796</v>
      </c>
    </row>
    <row r="306" spans="1:22">
      <c r="A306" s="1" t="s">
        <v>326</v>
      </c>
      <c r="B306">
        <f>HYPERLINK("https://www.suredividend.com/sure-analysis-COLD/","Americold Realty Trust")</f>
        <v>0</v>
      </c>
      <c r="C306">
        <v>29.68</v>
      </c>
      <c r="D306">
        <v>44</v>
      </c>
      <c r="E306">
        <v>0.6745454545454546</v>
      </c>
      <c r="F306">
        <v>0.02964959568733154</v>
      </c>
      <c r="G306">
        <v>0.08192649433780419</v>
      </c>
      <c r="H306">
        <v>0.06</v>
      </c>
      <c r="I306">
        <v>0.1658366582635131</v>
      </c>
      <c r="J306" t="s">
        <v>378</v>
      </c>
      <c r="K306" t="s">
        <v>378</v>
      </c>
      <c r="L306">
        <v>1.37</v>
      </c>
      <c r="M306">
        <v>0.88</v>
      </c>
      <c r="N306">
        <v>0.6423357664233577</v>
      </c>
      <c r="O306">
        <v>3</v>
      </c>
      <c r="P306">
        <v>0.04563955259127317</v>
      </c>
      <c r="Q306">
        <v>-0.165585629163826</v>
      </c>
      <c r="R306" t="s">
        <v>778</v>
      </c>
      <c r="S306" t="s">
        <v>790</v>
      </c>
      <c r="T306">
        <v>7926.355768</v>
      </c>
      <c r="U306" s="2">
        <v>44418</v>
      </c>
      <c r="V306" t="s">
        <v>791</v>
      </c>
    </row>
    <row r="307" spans="1:22">
      <c r="A307" s="1" t="s">
        <v>327</v>
      </c>
      <c r="B307">
        <f>HYPERLINK("https://www.suredividend.com/sure-analysis-MDC/","M.D.C. Holdings, Inc.")</f>
        <v>0</v>
      </c>
      <c r="C307">
        <v>49.21</v>
      </c>
      <c r="D307">
        <v>64</v>
      </c>
      <c r="E307">
        <v>0.76890625</v>
      </c>
      <c r="F307">
        <v>0.03251371672424304</v>
      </c>
      <c r="G307">
        <v>0.05396289519148501</v>
      </c>
      <c r="H307">
        <v>0.08</v>
      </c>
      <c r="I307">
        <v>0.1618217448979731</v>
      </c>
      <c r="J307" t="s">
        <v>378</v>
      </c>
      <c r="K307" t="s">
        <v>378</v>
      </c>
      <c r="L307">
        <v>8</v>
      </c>
      <c r="M307">
        <v>1.6</v>
      </c>
      <c r="N307">
        <v>0.2</v>
      </c>
      <c r="O307">
        <v>5</v>
      </c>
      <c r="P307">
        <v>0.0799150058822331</v>
      </c>
      <c r="Q307">
        <v>0.049787878589179</v>
      </c>
      <c r="R307" t="s">
        <v>776</v>
      </c>
      <c r="S307" t="s">
        <v>786</v>
      </c>
      <c r="T307">
        <v>3391.890656</v>
      </c>
      <c r="U307" s="2">
        <v>44407</v>
      </c>
      <c r="V307" t="s">
        <v>791</v>
      </c>
    </row>
    <row r="308" spans="1:22">
      <c r="A308" s="1" t="s">
        <v>328</v>
      </c>
      <c r="B308">
        <f>HYPERLINK("https://www.suredividend.com/sure-analysis-SJI/","South Jersey Industries Inc.")</f>
        <v>0</v>
      </c>
      <c r="C308">
        <v>21.81</v>
      </c>
      <c r="D308">
        <v>33</v>
      </c>
      <c r="E308">
        <v>0.6609090909090909</v>
      </c>
      <c r="F308">
        <v>0.05547913801008712</v>
      </c>
      <c r="G308">
        <v>0.08635471808421569</v>
      </c>
      <c r="H308">
        <v>0.03</v>
      </c>
      <c r="I308">
        <v>0.1547341137144633</v>
      </c>
      <c r="J308" t="s">
        <v>378</v>
      </c>
      <c r="K308" t="s">
        <v>772</v>
      </c>
      <c r="L308">
        <v>1.6</v>
      </c>
      <c r="M308">
        <v>1.21</v>
      </c>
      <c r="N308">
        <v>0.75625</v>
      </c>
      <c r="O308">
        <v>22</v>
      </c>
      <c r="P308">
        <v>0.02514911088713245</v>
      </c>
      <c r="Q308">
        <v>0.167624242103312</v>
      </c>
      <c r="R308" t="s">
        <v>776</v>
      </c>
      <c r="S308" t="s">
        <v>787</v>
      </c>
      <c r="T308">
        <v>2479.458533</v>
      </c>
      <c r="U308" s="2">
        <v>44414</v>
      </c>
      <c r="V308" t="s">
        <v>799</v>
      </c>
    </row>
    <row r="309" spans="1:22">
      <c r="A309" s="1" t="s">
        <v>329</v>
      </c>
      <c r="B309">
        <f>HYPERLINK("https://www.suredividend.com/sure-analysis-SMG/","Scotts Miracle-Gro Company")</f>
        <v>0</v>
      </c>
      <c r="C309">
        <v>148.29</v>
      </c>
      <c r="D309">
        <v>210</v>
      </c>
      <c r="E309">
        <v>0.7061428571428571</v>
      </c>
      <c r="F309">
        <v>0.0178029536718592</v>
      </c>
      <c r="G309">
        <v>0.0720659089049358</v>
      </c>
      <c r="H309">
        <v>0.065</v>
      </c>
      <c r="I309">
        <v>0.1539979884002458</v>
      </c>
      <c r="J309" t="s">
        <v>378</v>
      </c>
      <c r="K309" t="s">
        <v>486</v>
      </c>
      <c r="L309">
        <v>9.15</v>
      </c>
      <c r="M309">
        <v>2.64</v>
      </c>
      <c r="N309">
        <v>0.2885245901639344</v>
      </c>
      <c r="O309">
        <v>12</v>
      </c>
      <c r="P309">
        <v>0.05982499004041508</v>
      </c>
      <c r="Q309">
        <v>-0.09853194697046501</v>
      </c>
      <c r="R309" t="s">
        <v>776</v>
      </c>
      <c r="S309" t="s">
        <v>782</v>
      </c>
      <c r="T309">
        <v>8278.116624</v>
      </c>
      <c r="U309" s="2">
        <v>44413</v>
      </c>
      <c r="V309" t="s">
        <v>791</v>
      </c>
    </row>
    <row r="310" spans="1:22">
      <c r="A310" s="1" t="s">
        <v>330</v>
      </c>
      <c r="B310">
        <f>HYPERLINK("https://www.suredividend.com/sure-analysis-TX/","Ternium S.A.")</f>
        <v>0</v>
      </c>
      <c r="C310">
        <v>44.24</v>
      </c>
      <c r="D310">
        <v>128</v>
      </c>
      <c r="E310">
        <v>0.345625</v>
      </c>
      <c r="F310">
        <v>0.04746835443037975</v>
      </c>
      <c r="G310">
        <v>0.2367416027624367</v>
      </c>
      <c r="H310">
        <v>-0.1</v>
      </c>
      <c r="I310">
        <v>0.1507648374560266</v>
      </c>
      <c r="J310" t="s">
        <v>378</v>
      </c>
      <c r="K310" t="s">
        <v>773</v>
      </c>
      <c r="L310">
        <v>16</v>
      </c>
      <c r="M310">
        <v>2.1</v>
      </c>
      <c r="N310">
        <v>0.13125</v>
      </c>
      <c r="O310">
        <v>1</v>
      </c>
      <c r="P310">
        <v>0.08992507843838271</v>
      </c>
      <c r="Q310">
        <v>1.263705175849079</v>
      </c>
      <c r="R310" t="s">
        <v>776</v>
      </c>
      <c r="S310" t="s">
        <v>782</v>
      </c>
      <c r="T310">
        <v>8951.179459999999</v>
      </c>
      <c r="U310" s="2">
        <v>44442</v>
      </c>
      <c r="V310" t="s">
        <v>793</v>
      </c>
    </row>
    <row r="311" spans="1:22">
      <c r="A311" s="1" t="s">
        <v>331</v>
      </c>
      <c r="B311">
        <f>HYPERLINK("https://www.suredividend.com/sure-analysis-TRTN/","Triton International Ltd")</f>
        <v>0</v>
      </c>
      <c r="C311">
        <v>54.84</v>
      </c>
      <c r="D311">
        <v>75</v>
      </c>
      <c r="E311">
        <v>0.7312000000000001</v>
      </c>
      <c r="F311">
        <v>0.04157549234135667</v>
      </c>
      <c r="G311">
        <v>0.06461544747076053</v>
      </c>
      <c r="H311">
        <v>0.05</v>
      </c>
      <c r="I311">
        <v>0.1488588054070907</v>
      </c>
      <c r="J311" t="s">
        <v>378</v>
      </c>
      <c r="K311" t="s">
        <v>773</v>
      </c>
      <c r="L311">
        <v>8.300000000000001</v>
      </c>
      <c r="M311">
        <v>2.28</v>
      </c>
      <c r="N311">
        <v>0.2746987951807228</v>
      </c>
      <c r="O311">
        <v>5</v>
      </c>
      <c r="P311">
        <v>0.07014598459437504</v>
      </c>
      <c r="Q311">
        <v>0.533907807367615</v>
      </c>
      <c r="R311" t="s">
        <v>776</v>
      </c>
      <c r="S311" t="s">
        <v>783</v>
      </c>
      <c r="T311">
        <v>3660.145113</v>
      </c>
      <c r="U311" s="2">
        <v>44404</v>
      </c>
      <c r="V311" t="s">
        <v>791</v>
      </c>
    </row>
    <row r="312" spans="1:22">
      <c r="A312" s="1" t="s">
        <v>332</v>
      </c>
      <c r="B312">
        <f>HYPERLINK("https://www.suredividend.com/sure-analysis-DKS/","Dicks Sporting Goods, Inc.")</f>
        <v>0</v>
      </c>
      <c r="C312">
        <v>123.73</v>
      </c>
      <c r="D312">
        <v>158.96</v>
      </c>
      <c r="E312">
        <v>0.7783719174635129</v>
      </c>
      <c r="F312">
        <v>0.01414369999191789</v>
      </c>
      <c r="G312">
        <v>0.05138691624987013</v>
      </c>
      <c r="H312">
        <v>0.075</v>
      </c>
      <c r="I312">
        <v>0.1413224026238591</v>
      </c>
      <c r="J312" t="s">
        <v>378</v>
      </c>
      <c r="K312" t="s">
        <v>486</v>
      </c>
      <c r="L312">
        <v>12.7</v>
      </c>
      <c r="M312">
        <v>1.75</v>
      </c>
      <c r="N312">
        <v>0.1377952755905512</v>
      </c>
      <c r="O312">
        <v>7</v>
      </c>
      <c r="P312">
        <v>0.08979006975364512</v>
      </c>
      <c r="Q312">
        <v>1.059504439269214</v>
      </c>
      <c r="R312" t="s">
        <v>776</v>
      </c>
      <c r="S312" t="s">
        <v>788</v>
      </c>
      <c r="T312">
        <v>7770.198973</v>
      </c>
      <c r="U312" s="2">
        <v>44439</v>
      </c>
      <c r="V312" t="s">
        <v>793</v>
      </c>
    </row>
    <row r="313" spans="1:22">
      <c r="A313" s="1" t="s">
        <v>333</v>
      </c>
      <c r="B313">
        <f>HYPERLINK("https://www.suredividend.com/sure-analysis-ALL/","Allstate Corp (The)")</f>
        <v>0</v>
      </c>
      <c r="C313">
        <v>126.05</v>
      </c>
      <c r="D313">
        <v>171</v>
      </c>
      <c r="E313">
        <v>0.7371345029239766</v>
      </c>
      <c r="F313">
        <v>0.0257040856802856</v>
      </c>
      <c r="G313">
        <v>0.0628957048471539</v>
      </c>
      <c r="H313">
        <v>0.05</v>
      </c>
      <c r="I313">
        <v>0.1346492189577941</v>
      </c>
      <c r="J313" t="s">
        <v>378</v>
      </c>
      <c r="K313" t="s">
        <v>378</v>
      </c>
      <c r="L313">
        <v>15.3</v>
      </c>
      <c r="M313">
        <v>3.24</v>
      </c>
      <c r="N313">
        <v>0.2117647058823529</v>
      </c>
      <c r="O313">
        <v>9</v>
      </c>
      <c r="P313">
        <v>0.05024607263868264</v>
      </c>
      <c r="Q313">
        <v>0.395661733699021</v>
      </c>
      <c r="R313" t="s">
        <v>776</v>
      </c>
      <c r="S313" t="s">
        <v>786</v>
      </c>
      <c r="T313">
        <v>37480.575278</v>
      </c>
      <c r="U313" s="2">
        <v>44417</v>
      </c>
      <c r="V313" t="s">
        <v>793</v>
      </c>
    </row>
    <row r="314" spans="1:22">
      <c r="A314" s="1" t="s">
        <v>334</v>
      </c>
      <c r="B314">
        <f>HYPERLINK("https://www.suredividend.com/sure-analysis-PHM/","PulteGroup Inc")</f>
        <v>0</v>
      </c>
      <c r="C314">
        <v>49.37</v>
      </c>
      <c r="D314">
        <v>65</v>
      </c>
      <c r="E314">
        <v>0.7595384615384615</v>
      </c>
      <c r="F314">
        <v>0.01134292080210654</v>
      </c>
      <c r="G314">
        <v>0.05654997939111972</v>
      </c>
      <c r="H314">
        <v>0.06</v>
      </c>
      <c r="I314">
        <v>0.1281539272545638</v>
      </c>
      <c r="J314" t="s">
        <v>378</v>
      </c>
      <c r="K314" t="s">
        <v>486</v>
      </c>
      <c r="L314">
        <v>7.6</v>
      </c>
      <c r="M314">
        <v>0.5600000000000001</v>
      </c>
      <c r="N314">
        <v>0.0736842105263158</v>
      </c>
      <c r="O314">
        <v>4</v>
      </c>
      <c r="P314">
        <v>0.04861016738492974</v>
      </c>
      <c r="Q314">
        <v>0.025670361707176</v>
      </c>
      <c r="R314" t="s">
        <v>776</v>
      </c>
      <c r="S314" t="s">
        <v>788</v>
      </c>
      <c r="T314">
        <v>12563.571847</v>
      </c>
      <c r="U314" s="2">
        <v>44411</v>
      </c>
      <c r="V314" t="s">
        <v>793</v>
      </c>
    </row>
    <row r="315" spans="1:22">
      <c r="A315" s="1" t="s">
        <v>335</v>
      </c>
      <c r="B315">
        <f>HYPERLINK("https://www.suredividend.com/sure-analysis-MMP/","Magellan Midstream Partners L.P.")</f>
        <v>0</v>
      </c>
      <c r="C315">
        <v>49.95</v>
      </c>
      <c r="D315">
        <v>60</v>
      </c>
      <c r="E315">
        <v>0.8325</v>
      </c>
      <c r="F315">
        <v>0.08228228228228228</v>
      </c>
      <c r="G315">
        <v>0.0373448413423314</v>
      </c>
      <c r="H315">
        <v>0.03</v>
      </c>
      <c r="I315">
        <v>0.1281093210260147</v>
      </c>
      <c r="J315" t="s">
        <v>378</v>
      </c>
      <c r="K315" t="s">
        <v>772</v>
      </c>
      <c r="L315">
        <v>5</v>
      </c>
      <c r="M315">
        <v>4.11</v>
      </c>
      <c r="N315">
        <v>0.8220000000000001</v>
      </c>
      <c r="O315">
        <v>20</v>
      </c>
      <c r="P315">
        <v>0.01829623581838469</v>
      </c>
      <c r="Q315">
        <v>0.46193569282257</v>
      </c>
      <c r="R315" t="s">
        <v>777</v>
      </c>
      <c r="S315" t="s">
        <v>789</v>
      </c>
      <c r="T315">
        <v>10801.031963</v>
      </c>
      <c r="U315" s="2">
        <v>44424</v>
      </c>
      <c r="V315" t="s">
        <v>796</v>
      </c>
    </row>
    <row r="316" spans="1:22">
      <c r="A316" s="1" t="s">
        <v>336</v>
      </c>
      <c r="B316">
        <f>HYPERLINK("https://www.suredividend.com/sure-analysis-PNW/","Pinnacle West Capital Corp.")</f>
        <v>0</v>
      </c>
      <c r="C316">
        <v>67.01000000000001</v>
      </c>
      <c r="D316">
        <v>87</v>
      </c>
      <c r="E316">
        <v>0.7702298850574714</v>
      </c>
      <c r="F316">
        <v>0.05029100134308312</v>
      </c>
      <c r="G316">
        <v>0.05360040024898405</v>
      </c>
      <c r="H316">
        <v>0.03</v>
      </c>
      <c r="I316">
        <v>0.1243509844602246</v>
      </c>
      <c r="J316" t="s">
        <v>378</v>
      </c>
      <c r="K316" t="s">
        <v>772</v>
      </c>
      <c r="L316">
        <v>5</v>
      </c>
      <c r="M316">
        <v>3.37</v>
      </c>
      <c r="N316">
        <v>0.674</v>
      </c>
      <c r="O316">
        <v>9</v>
      </c>
      <c r="P316">
        <v>0.04994780736971771</v>
      </c>
      <c r="Q316">
        <v>-0.126162953522968</v>
      </c>
      <c r="R316" t="s">
        <v>776</v>
      </c>
      <c r="S316" t="s">
        <v>787</v>
      </c>
      <c r="T316">
        <v>7671.675696</v>
      </c>
      <c r="U316" s="2">
        <v>44443</v>
      </c>
      <c r="V316" t="s">
        <v>798</v>
      </c>
    </row>
    <row r="317" spans="1:22">
      <c r="A317" s="1" t="s">
        <v>337</v>
      </c>
      <c r="B317">
        <f>HYPERLINK("https://www.suredividend.com/sure-analysis-BTI/","British American Tobacco Plc")</f>
        <v>0</v>
      </c>
      <c r="C317">
        <v>35.9</v>
      </c>
      <c r="D317">
        <v>42</v>
      </c>
      <c r="E317">
        <v>0.8547619047619047</v>
      </c>
      <c r="F317">
        <v>0.08077994428969359</v>
      </c>
      <c r="G317">
        <v>0.03188421351429471</v>
      </c>
      <c r="H317">
        <v>0.03</v>
      </c>
      <c r="I317">
        <v>0.1236676879382317</v>
      </c>
      <c r="J317" t="s">
        <v>378</v>
      </c>
      <c r="K317" t="s">
        <v>772</v>
      </c>
      <c r="L317">
        <v>4.4</v>
      </c>
      <c r="M317">
        <v>2.9</v>
      </c>
      <c r="N317">
        <v>0.6590909090909091</v>
      </c>
      <c r="O317">
        <v>2</v>
      </c>
      <c r="P317">
        <v>0.02493227484012395</v>
      </c>
      <c r="Q317">
        <v>0.143038074883242</v>
      </c>
      <c r="R317" t="s">
        <v>776</v>
      </c>
      <c r="S317" t="s">
        <v>785</v>
      </c>
      <c r="T317">
        <v>82836.05762399999</v>
      </c>
      <c r="U317" s="2">
        <v>44462</v>
      </c>
      <c r="V317" t="s">
        <v>794</v>
      </c>
    </row>
    <row r="318" spans="1:22">
      <c r="A318" s="1" t="s">
        <v>338</v>
      </c>
      <c r="B318">
        <f>HYPERLINK("https://www.suredividend.com/sure-analysis-LRCX/","Lam Research Corp.")</f>
        <v>0</v>
      </c>
      <c r="C318">
        <v>568.7</v>
      </c>
      <c r="D318">
        <v>605</v>
      </c>
      <c r="E318">
        <v>0.9400000000000001</v>
      </c>
      <c r="F318">
        <v>0.01055037805521364</v>
      </c>
      <c r="G318">
        <v>0.01245196889366262</v>
      </c>
      <c r="H318">
        <v>0.1</v>
      </c>
      <c r="I318">
        <v>0.1225031783808235</v>
      </c>
      <c r="J318" t="s">
        <v>378</v>
      </c>
      <c r="K318" t="s">
        <v>774</v>
      </c>
      <c r="L318">
        <v>33.6</v>
      </c>
      <c r="M318">
        <v>6</v>
      </c>
      <c r="N318">
        <v>0.1785714285714286</v>
      </c>
      <c r="O318">
        <v>7</v>
      </c>
      <c r="P318">
        <v>0.08995882015965484</v>
      </c>
      <c r="Q318">
        <v>0.5613279045838261</v>
      </c>
      <c r="R318" t="s">
        <v>776</v>
      </c>
      <c r="S318" t="s">
        <v>784</v>
      </c>
      <c r="T318">
        <v>80128.594314</v>
      </c>
      <c r="U318" s="2">
        <v>44427</v>
      </c>
      <c r="V318" t="s">
        <v>798</v>
      </c>
    </row>
    <row r="319" spans="1:22">
      <c r="A319" s="1" t="s">
        <v>339</v>
      </c>
      <c r="B319">
        <f>HYPERLINK("https://www.suredividend.com/sure-analysis-OGS/","ONE Gas Inc")</f>
        <v>0</v>
      </c>
      <c r="C319">
        <v>66.36</v>
      </c>
      <c r="D319">
        <v>76</v>
      </c>
      <c r="E319">
        <v>0.8731578947368421</v>
      </c>
      <c r="F319">
        <v>0.03496081977094635</v>
      </c>
      <c r="G319">
        <v>0.02749908306409954</v>
      </c>
      <c r="H319">
        <v>0.06</v>
      </c>
      <c r="I319">
        <v>0.1177458849665489</v>
      </c>
      <c r="J319" t="s">
        <v>378</v>
      </c>
      <c r="K319" t="s">
        <v>773</v>
      </c>
      <c r="L319">
        <v>3.8</v>
      </c>
      <c r="M319">
        <v>2.32</v>
      </c>
      <c r="N319">
        <v>0.6105263157894737</v>
      </c>
      <c r="O319">
        <v>7</v>
      </c>
      <c r="P319">
        <v>0.06509372738446295</v>
      </c>
      <c r="Q319">
        <v>-0.04263976429869901</v>
      </c>
      <c r="R319" t="s">
        <v>776</v>
      </c>
      <c r="S319" t="s">
        <v>787</v>
      </c>
      <c r="T319">
        <v>3631.63315</v>
      </c>
      <c r="U319" s="2">
        <v>44411</v>
      </c>
      <c r="V319" t="s">
        <v>791</v>
      </c>
    </row>
    <row r="320" spans="1:22">
      <c r="A320" s="1" t="s">
        <v>340</v>
      </c>
      <c r="B320">
        <f>HYPERLINK("https://www.suredividend.com/sure-analysis-DHI/","D.R. Horton Inc.")</f>
        <v>0</v>
      </c>
      <c r="C320">
        <v>88.43000000000001</v>
      </c>
      <c r="D320">
        <v>106</v>
      </c>
      <c r="E320">
        <v>0.834245283018868</v>
      </c>
      <c r="F320">
        <v>0.009046703607373063</v>
      </c>
      <c r="G320">
        <v>0.03691044217765915</v>
      </c>
      <c r="H320">
        <v>0.07000000000000001</v>
      </c>
      <c r="I320">
        <v>0.1174055912551282</v>
      </c>
      <c r="J320" t="s">
        <v>378</v>
      </c>
      <c r="K320" t="s">
        <v>486</v>
      </c>
      <c r="L320">
        <v>11.2</v>
      </c>
      <c r="M320">
        <v>0.8</v>
      </c>
      <c r="N320">
        <v>0.07142857142857144</v>
      </c>
      <c r="O320">
        <v>7</v>
      </c>
      <c r="P320">
        <v>0.100271705097241</v>
      </c>
      <c r="Q320">
        <v>0.137107319156829</v>
      </c>
      <c r="R320" t="s">
        <v>776</v>
      </c>
      <c r="S320" t="s">
        <v>788</v>
      </c>
      <c r="T320">
        <v>31179.914763</v>
      </c>
      <c r="U320" s="2">
        <v>44403</v>
      </c>
      <c r="V320" t="s">
        <v>793</v>
      </c>
    </row>
    <row r="321" spans="1:22">
      <c r="A321" s="1" t="s">
        <v>341</v>
      </c>
      <c r="B321">
        <f>HYPERLINK("https://www.suredividend.com/sure-analysis-ALLY/","Ally Financial Inc")</f>
        <v>0</v>
      </c>
      <c r="C321">
        <v>54.86</v>
      </c>
      <c r="D321">
        <v>73</v>
      </c>
      <c r="E321">
        <v>0.7515068493150685</v>
      </c>
      <c r="F321">
        <v>0.01822821728034998</v>
      </c>
      <c r="G321">
        <v>0.05879872918345064</v>
      </c>
      <c r="H321">
        <v>0.04</v>
      </c>
      <c r="I321">
        <v>0.117317800306644</v>
      </c>
      <c r="J321" t="s">
        <v>378</v>
      </c>
      <c r="K321" t="s">
        <v>486</v>
      </c>
      <c r="L321">
        <v>8.1</v>
      </c>
      <c r="M321">
        <v>1</v>
      </c>
      <c r="N321">
        <v>0.1234567901234568</v>
      </c>
      <c r="O321">
        <v>5</v>
      </c>
      <c r="P321">
        <v>0.09993032380125255</v>
      </c>
      <c r="Q321">
        <v>0.957637997432606</v>
      </c>
      <c r="R321" t="s">
        <v>776</v>
      </c>
      <c r="S321" t="s">
        <v>786</v>
      </c>
      <c r="T321">
        <v>19793.741306</v>
      </c>
      <c r="U321" s="2">
        <v>44402</v>
      </c>
      <c r="V321" t="s">
        <v>794</v>
      </c>
    </row>
    <row r="322" spans="1:22">
      <c r="A322" s="1" t="s">
        <v>342</v>
      </c>
      <c r="B322">
        <f>HYPERLINK("https://www.suredividend.com/sure-analysis-SNY/","Sanofi")</f>
        <v>0</v>
      </c>
      <c r="C322">
        <v>48.03</v>
      </c>
      <c r="D322">
        <v>59</v>
      </c>
      <c r="E322">
        <v>0.8140677966101695</v>
      </c>
      <c r="F322">
        <v>0.04018321882156985</v>
      </c>
      <c r="G322">
        <v>0.04200039837191238</v>
      </c>
      <c r="H322">
        <v>0.04</v>
      </c>
      <c r="I322">
        <v>0.1146948655781888</v>
      </c>
      <c r="J322" t="s">
        <v>378</v>
      </c>
      <c r="K322" t="s">
        <v>773</v>
      </c>
      <c r="L322">
        <v>3.7</v>
      </c>
      <c r="M322">
        <v>1.93</v>
      </c>
      <c r="N322">
        <v>0.5216216216216216</v>
      </c>
      <c r="O322">
        <v>27</v>
      </c>
      <c r="P322">
        <v>0.04016469901021225</v>
      </c>
      <c r="Q322">
        <v>0.008455751810472001</v>
      </c>
      <c r="R322" t="s">
        <v>776</v>
      </c>
      <c r="S322" t="s">
        <v>781</v>
      </c>
      <c r="T322">
        <v>123437.405566</v>
      </c>
      <c r="U322" s="2">
        <v>44408</v>
      </c>
      <c r="V322" t="s">
        <v>792</v>
      </c>
    </row>
    <row r="323" spans="1:22">
      <c r="A323" s="1" t="s">
        <v>343</v>
      </c>
      <c r="B323">
        <f>HYPERLINK("https://www.suredividend.com/sure-analysis-OGE/","Oge Energy Corp.")</f>
        <v>0</v>
      </c>
      <c r="C323">
        <v>33.39</v>
      </c>
      <c r="D323">
        <v>37</v>
      </c>
      <c r="E323">
        <v>0.9024324324324324</v>
      </c>
      <c r="F323">
        <v>0.04911650194669062</v>
      </c>
      <c r="G323">
        <v>0.02074452932563808</v>
      </c>
      <c r="H323">
        <v>0.05</v>
      </c>
      <c r="I323">
        <v>0.1119379739696786</v>
      </c>
      <c r="J323" t="s">
        <v>378</v>
      </c>
      <c r="K323" t="s">
        <v>773</v>
      </c>
      <c r="L323">
        <v>2.17</v>
      </c>
      <c r="M323">
        <v>1.64</v>
      </c>
      <c r="N323">
        <v>0.7557603686635944</v>
      </c>
      <c r="O323">
        <v>15</v>
      </c>
      <c r="P323">
        <v>0.0506911866246349</v>
      </c>
      <c r="Q323">
        <v>0.123300072556863</v>
      </c>
      <c r="R323" t="s">
        <v>776</v>
      </c>
      <c r="S323" t="s">
        <v>787</v>
      </c>
      <c r="T323">
        <v>6755.884684</v>
      </c>
      <c r="U323" s="2">
        <v>44439</v>
      </c>
      <c r="V323" t="s">
        <v>796</v>
      </c>
    </row>
    <row r="324" spans="1:22">
      <c r="A324" s="1" t="s">
        <v>344</v>
      </c>
      <c r="B324">
        <f>HYPERLINK("https://www.suredividend.com/sure-analysis-HPQ/","HP Inc")</f>
        <v>0</v>
      </c>
      <c r="C324">
        <v>28.6</v>
      </c>
      <c r="D324">
        <v>36</v>
      </c>
      <c r="E324">
        <v>0.7944444444444445</v>
      </c>
      <c r="F324">
        <v>0.02727272727272727</v>
      </c>
      <c r="G324">
        <v>0.04709791189073953</v>
      </c>
      <c r="H324">
        <v>0.04</v>
      </c>
      <c r="I324">
        <v>0.1111811960182079</v>
      </c>
      <c r="J324" t="s">
        <v>378</v>
      </c>
      <c r="K324" t="s">
        <v>378</v>
      </c>
      <c r="L324">
        <v>3.59</v>
      </c>
      <c r="M324">
        <v>0.78</v>
      </c>
      <c r="N324">
        <v>0.2172701949860724</v>
      </c>
      <c r="O324">
        <v>10</v>
      </c>
      <c r="P324">
        <v>0.05922384104881218</v>
      </c>
      <c r="Q324">
        <v>0.47351528225008</v>
      </c>
      <c r="R324" t="s">
        <v>776</v>
      </c>
      <c r="S324" t="s">
        <v>784</v>
      </c>
      <c r="T324">
        <v>32593.229911</v>
      </c>
      <c r="U324" s="2">
        <v>44440</v>
      </c>
      <c r="V324" t="s">
        <v>794</v>
      </c>
    </row>
    <row r="325" spans="1:22">
      <c r="A325" s="1" t="s">
        <v>345</v>
      </c>
      <c r="B325">
        <f>HYPERLINK("https://www.suredividend.com/sure-analysis-KSS/","Kohl`s Corp.")</f>
        <v>0</v>
      </c>
      <c r="C325">
        <v>48.02</v>
      </c>
      <c r="D325">
        <v>74</v>
      </c>
      <c r="E325">
        <v>0.648918918918919</v>
      </c>
      <c r="F325">
        <v>0.02082465639316951</v>
      </c>
      <c r="G325">
        <v>0.09033991961429932</v>
      </c>
      <c r="H325">
        <v>0</v>
      </c>
      <c r="I325">
        <v>0.1084076348668956</v>
      </c>
      <c r="J325" t="s">
        <v>378</v>
      </c>
      <c r="K325" t="s">
        <v>486</v>
      </c>
      <c r="L325">
        <v>6.15</v>
      </c>
      <c r="M325">
        <v>1</v>
      </c>
      <c r="N325">
        <v>0.1626016260162602</v>
      </c>
      <c r="O325">
        <v>0</v>
      </c>
      <c r="P325">
        <v>0.08009875865888949</v>
      </c>
      <c r="Q325">
        <v>1.316191883097438</v>
      </c>
      <c r="R325" t="s">
        <v>776</v>
      </c>
      <c r="S325" t="s">
        <v>788</v>
      </c>
      <c r="T325">
        <v>6986.293197</v>
      </c>
      <c r="U325" s="2">
        <v>44436</v>
      </c>
      <c r="V325" t="s">
        <v>795</v>
      </c>
    </row>
    <row r="326" spans="1:22">
      <c r="A326" s="1" t="s">
        <v>346</v>
      </c>
      <c r="B326">
        <f>HYPERLINK("https://www.suredividend.com/sure-analysis-TYCB/","Calvin b. Taylor Bankshares, Inc.")</f>
        <v>0</v>
      </c>
      <c r="C326">
        <v>35.96</v>
      </c>
      <c r="D326">
        <v>39</v>
      </c>
      <c r="E326">
        <v>0.9220512820512821</v>
      </c>
      <c r="F326">
        <v>0.03225806451612903</v>
      </c>
      <c r="G326">
        <v>0.01636332370651084</v>
      </c>
      <c r="H326">
        <v>0.06</v>
      </c>
      <c r="I326">
        <v>0.1053533819265762</v>
      </c>
      <c r="J326" t="s">
        <v>378</v>
      </c>
      <c r="K326" t="s">
        <v>773</v>
      </c>
      <c r="L326">
        <v>3.1</v>
      </c>
      <c r="M326">
        <v>1.16</v>
      </c>
      <c r="N326">
        <v>0.3741935483870967</v>
      </c>
      <c r="O326">
        <v>30</v>
      </c>
      <c r="P326">
        <v>0.07039956279333892</v>
      </c>
      <c r="Q326">
        <v>0.044001347098512</v>
      </c>
      <c r="R326" t="s">
        <v>776</v>
      </c>
      <c r="S326" t="s">
        <v>786</v>
      </c>
      <c r="T326">
        <v>99.43529700000001</v>
      </c>
      <c r="U326" s="2">
        <v>44424</v>
      </c>
      <c r="V326" t="s">
        <v>794</v>
      </c>
    </row>
    <row r="327" spans="1:22">
      <c r="A327" s="1" t="s">
        <v>347</v>
      </c>
      <c r="B327">
        <f>HYPERLINK("https://www.suredividend.com/sure-analysis-HPE/","Hewlett Packard Enterprise Co")</f>
        <v>0</v>
      </c>
      <c r="C327">
        <v>15.11</v>
      </c>
      <c r="D327">
        <v>16.49</v>
      </c>
      <c r="E327">
        <v>0.9163129169193451</v>
      </c>
      <c r="F327">
        <v>0.03176704169424222</v>
      </c>
      <c r="G327">
        <v>0.01763313202179617</v>
      </c>
      <c r="H327">
        <v>0.06</v>
      </c>
      <c r="I327">
        <v>0.1045732459878677</v>
      </c>
      <c r="J327" t="s">
        <v>378</v>
      </c>
      <c r="K327" t="s">
        <v>378</v>
      </c>
      <c r="L327">
        <v>1.94</v>
      </c>
      <c r="M327">
        <v>0.48</v>
      </c>
      <c r="N327">
        <v>0.2474226804123711</v>
      </c>
      <c r="O327">
        <v>4</v>
      </c>
      <c r="P327">
        <v>0.04910201101938982</v>
      </c>
      <c r="Q327">
        <v>0.6533705841909391</v>
      </c>
      <c r="R327" t="s">
        <v>776</v>
      </c>
      <c r="S327" t="s">
        <v>784</v>
      </c>
      <c r="T327">
        <v>19816.957712</v>
      </c>
      <c r="U327" s="2">
        <v>44443</v>
      </c>
      <c r="V327" t="s">
        <v>791</v>
      </c>
    </row>
    <row r="328" spans="1:22">
      <c r="A328" s="1" t="s">
        <v>348</v>
      </c>
      <c r="B328">
        <f>HYPERLINK("https://www.suredividend.com/sure-analysis-MKTX/","MarketAxess Holdings Inc.")</f>
        <v>0</v>
      </c>
      <c r="C328">
        <v>405</v>
      </c>
      <c r="D328">
        <v>319</v>
      </c>
      <c r="E328">
        <v>1.269592476489028</v>
      </c>
      <c r="F328">
        <v>0.006518518518518519</v>
      </c>
      <c r="G328">
        <v>-0.04661759641051488</v>
      </c>
      <c r="H328">
        <v>0.15</v>
      </c>
      <c r="I328">
        <v>0.1032978595744907</v>
      </c>
      <c r="J328" t="s">
        <v>378</v>
      </c>
      <c r="K328" t="s">
        <v>774</v>
      </c>
      <c r="L328">
        <v>7.6</v>
      </c>
      <c r="M328">
        <v>2.64</v>
      </c>
      <c r="N328">
        <v>0.3473684210526316</v>
      </c>
      <c r="O328">
        <v>11</v>
      </c>
      <c r="P328">
        <v>0.1500007374307972</v>
      </c>
      <c r="Q328">
        <v>-0.242043152937598</v>
      </c>
      <c r="R328" t="s">
        <v>776</v>
      </c>
      <c r="S328" t="s">
        <v>786</v>
      </c>
      <c r="T328">
        <v>15412.237744</v>
      </c>
      <c r="U328" s="2">
        <v>44400</v>
      </c>
      <c r="V328" t="s">
        <v>793</v>
      </c>
    </row>
    <row r="329" spans="1:22">
      <c r="A329" s="1" t="s">
        <v>349</v>
      </c>
      <c r="B329">
        <f>HYPERLINK("https://www.suredividend.com/sure-analysis-FNF/","Fidelity National Financial Inc")</f>
        <v>0</v>
      </c>
      <c r="C329">
        <v>49.27</v>
      </c>
      <c r="D329">
        <v>65</v>
      </c>
      <c r="E329">
        <v>0.758</v>
      </c>
      <c r="F329">
        <v>0.03247412218388471</v>
      </c>
      <c r="G329">
        <v>0.05697851328969805</v>
      </c>
      <c r="H329">
        <v>0.02</v>
      </c>
      <c r="I329">
        <v>0.1026152036193533</v>
      </c>
      <c r="J329" t="s">
        <v>378</v>
      </c>
      <c r="K329" t="s">
        <v>378</v>
      </c>
      <c r="L329">
        <v>6.5</v>
      </c>
      <c r="M329">
        <v>1.6</v>
      </c>
      <c r="N329">
        <v>0.2461538461538462</v>
      </c>
      <c r="O329">
        <v>11</v>
      </c>
      <c r="P329">
        <v>0.02155088395573701</v>
      </c>
      <c r="Q329">
        <v>0.5193083930035101</v>
      </c>
      <c r="R329" t="s">
        <v>776</v>
      </c>
      <c r="S329" t="s">
        <v>786</v>
      </c>
      <c r="T329">
        <v>14014.599267</v>
      </c>
      <c r="U329" s="2">
        <v>44417</v>
      </c>
      <c r="V329" t="s">
        <v>797</v>
      </c>
    </row>
    <row r="330" spans="1:22">
      <c r="A330" s="1" t="s">
        <v>350</v>
      </c>
      <c r="B330">
        <f>HYPERLINK("https://www.suredividend.com/sure-analysis-NHI/","National Health Investors, Inc.")</f>
        <v>0</v>
      </c>
      <c r="C330">
        <v>56.89</v>
      </c>
      <c r="D330">
        <v>63</v>
      </c>
      <c r="E330">
        <v>0.903015873015873</v>
      </c>
      <c r="F330">
        <v>0.06328001406222535</v>
      </c>
      <c r="G330">
        <v>0.02061259415725436</v>
      </c>
      <c r="H330">
        <v>0.03</v>
      </c>
      <c r="I330">
        <v>0.09987712866109377</v>
      </c>
      <c r="J330" t="s">
        <v>378</v>
      </c>
      <c r="K330" t="s">
        <v>773</v>
      </c>
      <c r="L330">
        <v>4.82</v>
      </c>
      <c r="M330">
        <v>3.6</v>
      </c>
      <c r="N330">
        <v>0.7468879668049793</v>
      </c>
      <c r="O330">
        <v>0</v>
      </c>
      <c r="P330">
        <v>0.009805797673485328</v>
      </c>
      <c r="Q330">
        <v>0.021476313501024</v>
      </c>
      <c r="R330" t="s">
        <v>778</v>
      </c>
      <c r="S330" t="s">
        <v>790</v>
      </c>
      <c r="T330">
        <v>2590.558844</v>
      </c>
      <c r="U330" s="2">
        <v>44418</v>
      </c>
      <c r="V330" t="s">
        <v>793</v>
      </c>
    </row>
    <row r="331" spans="1:22">
      <c r="A331" s="1" t="s">
        <v>351</v>
      </c>
      <c r="B331">
        <f>HYPERLINK("https://www.suredividend.com/sure-analysis-IPPLF/","Inter Pipeline Ltd.")</f>
        <v>0</v>
      </c>
      <c r="C331">
        <v>16.11</v>
      </c>
      <c r="D331">
        <v>18</v>
      </c>
      <c r="E331">
        <v>0.895</v>
      </c>
      <c r="F331">
        <v>0.02358783364369956</v>
      </c>
      <c r="G331">
        <v>0.02243425864228787</v>
      </c>
      <c r="H331">
        <v>0.05</v>
      </c>
      <c r="I331">
        <v>0.09968830083258995</v>
      </c>
      <c r="J331" t="s">
        <v>378</v>
      </c>
      <c r="K331" t="s">
        <v>486</v>
      </c>
      <c r="L331">
        <v>1.6</v>
      </c>
      <c r="M331">
        <v>0.38</v>
      </c>
      <c r="N331">
        <v>0.2375</v>
      </c>
      <c r="O331">
        <v>0</v>
      </c>
      <c r="P331">
        <v>0.1486983549970351</v>
      </c>
      <c r="Q331">
        <v>0.656040492397408</v>
      </c>
      <c r="R331" t="s">
        <v>776</v>
      </c>
      <c r="S331" t="s">
        <v>789</v>
      </c>
      <c r="T331">
        <v>6923.305293</v>
      </c>
      <c r="U331" s="2">
        <v>44422</v>
      </c>
      <c r="V331" t="s">
        <v>801</v>
      </c>
    </row>
    <row r="332" spans="1:22">
      <c r="A332" s="1" t="s">
        <v>352</v>
      </c>
      <c r="B332">
        <f>HYPERLINK("https://www.suredividend.com/sure-analysis-POR/","Portland General Electric Co")</f>
        <v>0</v>
      </c>
      <c r="C332">
        <v>47.81</v>
      </c>
      <c r="D332">
        <v>52</v>
      </c>
      <c r="E332">
        <v>0.919423076923077</v>
      </c>
      <c r="F332">
        <v>0.03597573729345325</v>
      </c>
      <c r="G332">
        <v>0.01694372293547963</v>
      </c>
      <c r="H332">
        <v>0.05</v>
      </c>
      <c r="I332">
        <v>0.09897189100812143</v>
      </c>
      <c r="J332" t="s">
        <v>378</v>
      </c>
      <c r="K332" t="s">
        <v>773</v>
      </c>
      <c r="L332">
        <v>2.75</v>
      </c>
      <c r="M332">
        <v>1.72</v>
      </c>
      <c r="N332">
        <v>0.6254545454545455</v>
      </c>
      <c r="O332">
        <v>14</v>
      </c>
      <c r="P332">
        <v>0.05983895403096029</v>
      </c>
      <c r="Q332">
        <v>0.345278995049863</v>
      </c>
      <c r="R332" t="s">
        <v>776</v>
      </c>
      <c r="S332" t="s">
        <v>787</v>
      </c>
      <c r="T332">
        <v>4320.071586</v>
      </c>
      <c r="U332" s="2">
        <v>44408</v>
      </c>
      <c r="V332" t="s">
        <v>793</v>
      </c>
    </row>
    <row r="333" spans="1:22">
      <c r="A333" s="1" t="s">
        <v>353</v>
      </c>
      <c r="B333">
        <f>HYPERLINK("https://www.suredividend.com/sure-analysis-THO/","Thor Industries, Inc.")</f>
        <v>0</v>
      </c>
      <c r="C333">
        <v>109.37</v>
      </c>
      <c r="D333">
        <v>124</v>
      </c>
      <c r="E333">
        <v>0.8820161290322581</v>
      </c>
      <c r="F333">
        <v>0.01499497119868337</v>
      </c>
      <c r="G333">
        <v>0.02542687289109979</v>
      </c>
      <c r="H333">
        <v>0.06</v>
      </c>
      <c r="I333">
        <v>0.09863149091311008</v>
      </c>
      <c r="J333" t="s">
        <v>378</v>
      </c>
      <c r="K333" t="s">
        <v>486</v>
      </c>
      <c r="L333">
        <v>10.3</v>
      </c>
      <c r="M333">
        <v>1.64</v>
      </c>
      <c r="N333">
        <v>0.1592233009708738</v>
      </c>
      <c r="O333">
        <v>10</v>
      </c>
      <c r="P333">
        <v>0.03523310765751808</v>
      </c>
      <c r="Q333">
        <v>0.152288740843276</v>
      </c>
      <c r="R333" t="s">
        <v>776</v>
      </c>
      <c r="S333" t="s">
        <v>788</v>
      </c>
      <c r="T333">
        <v>5982.32234</v>
      </c>
      <c r="U333" s="2">
        <v>44368</v>
      </c>
      <c r="V333" t="s">
        <v>793</v>
      </c>
    </row>
    <row r="334" spans="1:22">
      <c r="A334" s="1" t="s">
        <v>354</v>
      </c>
      <c r="B334">
        <f>HYPERLINK("https://www.suredividend.com/sure-analysis-LYB/","LyondellBasell Industries NV")</f>
        <v>0</v>
      </c>
      <c r="C334">
        <v>98.42</v>
      </c>
      <c r="D334">
        <v>150</v>
      </c>
      <c r="E334">
        <v>0.6561333333333333</v>
      </c>
      <c r="F334">
        <v>0.04592562487299329</v>
      </c>
      <c r="G334">
        <v>0.0879315705401682</v>
      </c>
      <c r="H334">
        <v>-0.03</v>
      </c>
      <c r="I334">
        <v>0.09624859359104976</v>
      </c>
      <c r="J334" t="s">
        <v>378</v>
      </c>
      <c r="K334" t="s">
        <v>773</v>
      </c>
      <c r="L334">
        <v>15</v>
      </c>
      <c r="M334">
        <v>4.52</v>
      </c>
      <c r="N334">
        <v>0.3013333333333333</v>
      </c>
      <c r="O334">
        <v>10</v>
      </c>
      <c r="P334">
        <v>0.06004276922950136</v>
      </c>
      <c r="Q334">
        <v>0.327101802501539</v>
      </c>
      <c r="R334" t="s">
        <v>776</v>
      </c>
      <c r="S334" t="s">
        <v>782</v>
      </c>
      <c r="T334">
        <v>33150.472969</v>
      </c>
      <c r="U334" s="2">
        <v>44415</v>
      </c>
      <c r="V334" t="s">
        <v>797</v>
      </c>
    </row>
    <row r="335" spans="1:22">
      <c r="A335" s="1" t="s">
        <v>355</v>
      </c>
      <c r="B335">
        <f>HYPERLINK("https://www.suredividend.com/sure-analysis-LNC/","Lincoln National Corp.")</f>
        <v>0</v>
      </c>
      <c r="C335">
        <v>72.76000000000001</v>
      </c>
      <c r="D335">
        <v>78</v>
      </c>
      <c r="E335">
        <v>0.9328205128205129</v>
      </c>
      <c r="F335">
        <v>0.02308960967564596</v>
      </c>
      <c r="G335">
        <v>0.01400566770692735</v>
      </c>
      <c r="H335">
        <v>0.06</v>
      </c>
      <c r="I335">
        <v>0.09535868890494448</v>
      </c>
      <c r="J335" t="s">
        <v>378</v>
      </c>
      <c r="K335" t="s">
        <v>378</v>
      </c>
      <c r="L335">
        <v>9.199999999999999</v>
      </c>
      <c r="M335">
        <v>1.68</v>
      </c>
      <c r="N335">
        <v>0.1826086956521739</v>
      </c>
      <c r="O335">
        <v>11</v>
      </c>
      <c r="P335">
        <v>0.07033701387905711</v>
      </c>
      <c r="Q335">
        <v>1.200363988289072</v>
      </c>
      <c r="R335" t="s">
        <v>776</v>
      </c>
      <c r="S335" t="s">
        <v>786</v>
      </c>
      <c r="T335">
        <v>13586.855819</v>
      </c>
      <c r="U335" s="2">
        <v>44414</v>
      </c>
      <c r="V335" t="s">
        <v>793</v>
      </c>
    </row>
    <row r="336" spans="1:22">
      <c r="A336" s="1" t="s">
        <v>356</v>
      </c>
      <c r="B336">
        <f>HYPERLINK("https://www.suredividend.com/sure-analysis-UL/","Unilever plc")</f>
        <v>0</v>
      </c>
      <c r="C336">
        <v>52.72</v>
      </c>
      <c r="D336">
        <v>56</v>
      </c>
      <c r="E336">
        <v>0.9414285714285714</v>
      </c>
      <c r="F336">
        <v>0.03888467374810319</v>
      </c>
      <c r="G336">
        <v>0.01214451303102826</v>
      </c>
      <c r="H336">
        <v>0.05</v>
      </c>
      <c r="I336">
        <v>0.09435497016669814</v>
      </c>
      <c r="J336" t="s">
        <v>378</v>
      </c>
      <c r="K336" t="s">
        <v>773</v>
      </c>
      <c r="L336">
        <v>3.1</v>
      </c>
      <c r="M336">
        <v>2.05</v>
      </c>
      <c r="N336">
        <v>0.6612903225806451</v>
      </c>
      <c r="O336">
        <v>6</v>
      </c>
      <c r="P336">
        <v>0.03202799005791723</v>
      </c>
      <c r="Q336">
        <v>-0.125906731475445</v>
      </c>
      <c r="R336" t="s">
        <v>776</v>
      </c>
      <c r="S336" t="s">
        <v>785</v>
      </c>
      <c r="T336">
        <v>136557.261388</v>
      </c>
      <c r="U336" s="2">
        <v>44400</v>
      </c>
      <c r="V336" t="s">
        <v>796</v>
      </c>
    </row>
    <row r="337" spans="1:22">
      <c r="A337" s="1" t="s">
        <v>357</v>
      </c>
      <c r="B337">
        <f>HYPERLINK("https://www.suredividend.com/sure-analysis-GPS/","Gap, Inc.")</f>
        <v>0</v>
      </c>
      <c r="C337">
        <v>23.15</v>
      </c>
      <c r="D337">
        <v>27.88</v>
      </c>
      <c r="E337">
        <v>0.8303443328550932</v>
      </c>
      <c r="F337">
        <v>0.02073434125269978</v>
      </c>
      <c r="G337">
        <v>0.0378828956349917</v>
      </c>
      <c r="H337">
        <v>0.04</v>
      </c>
      <c r="I337">
        <v>0.09425778612939006</v>
      </c>
      <c r="J337" t="s">
        <v>378</v>
      </c>
      <c r="K337" t="s">
        <v>486</v>
      </c>
      <c r="L337">
        <v>2.15</v>
      </c>
      <c r="M337">
        <v>0.48</v>
      </c>
      <c r="N337">
        <v>0.2232558139534884</v>
      </c>
      <c r="O337">
        <v>0</v>
      </c>
      <c r="P337">
        <v>0</v>
      </c>
      <c r="Q337">
        <v>0.161052813743844</v>
      </c>
      <c r="R337" t="s">
        <v>776</v>
      </c>
      <c r="S337" t="s">
        <v>788</v>
      </c>
      <c r="T337">
        <v>8326.966139</v>
      </c>
      <c r="U337" s="2">
        <v>44460</v>
      </c>
      <c r="V337" t="s">
        <v>798</v>
      </c>
    </row>
    <row r="338" spans="1:22">
      <c r="A338" s="1" t="s">
        <v>358</v>
      </c>
      <c r="B338">
        <f>HYPERLINK("https://www.suredividend.com/sure-analysis-CCI/","Crown Castle International Corp")</f>
        <v>0</v>
      </c>
      <c r="C338">
        <v>167.81</v>
      </c>
      <c r="D338">
        <v>164</v>
      </c>
      <c r="E338">
        <v>1.023231707317073</v>
      </c>
      <c r="F338">
        <v>0.03170252070794351</v>
      </c>
      <c r="G338">
        <v>-0.004582659264359079</v>
      </c>
      <c r="H338">
        <v>0.07000000000000001</v>
      </c>
      <c r="I338">
        <v>0.09226071027583171</v>
      </c>
      <c r="J338" t="s">
        <v>378</v>
      </c>
      <c r="K338" t="s">
        <v>378</v>
      </c>
      <c r="L338">
        <v>6.85</v>
      </c>
      <c r="M338">
        <v>5.32</v>
      </c>
      <c r="N338">
        <v>0.7766423357664234</v>
      </c>
      <c r="O338">
        <v>7</v>
      </c>
      <c r="P338">
        <v>0.05000563166277994</v>
      </c>
      <c r="Q338">
        <v>0.043267971271668</v>
      </c>
      <c r="R338" t="s">
        <v>778</v>
      </c>
      <c r="S338" t="s">
        <v>790</v>
      </c>
      <c r="T338">
        <v>72976.35369800001</v>
      </c>
      <c r="U338" s="2">
        <v>44400</v>
      </c>
      <c r="V338" t="s">
        <v>795</v>
      </c>
    </row>
    <row r="339" spans="1:22">
      <c r="A339" s="1" t="s">
        <v>359</v>
      </c>
      <c r="B339">
        <f>HYPERLINK("https://www.suredividend.com/sure-analysis-EVRG/","Evergy Inc")</f>
        <v>0</v>
      </c>
      <c r="C339">
        <v>63.05</v>
      </c>
      <c r="D339">
        <v>60</v>
      </c>
      <c r="E339">
        <v>1.050833333333333</v>
      </c>
      <c r="F339">
        <v>0.03441712926249009</v>
      </c>
      <c r="G339">
        <v>-0.009867691702054704</v>
      </c>
      <c r="H339">
        <v>0.07000000000000001</v>
      </c>
      <c r="I339">
        <v>0.0910894412376646</v>
      </c>
      <c r="J339" t="s">
        <v>378</v>
      </c>
      <c r="K339" t="s">
        <v>773</v>
      </c>
      <c r="L339">
        <v>3.32</v>
      </c>
      <c r="M339">
        <v>2.17</v>
      </c>
      <c r="N339">
        <v>0.6536144578313253</v>
      </c>
      <c r="O339">
        <v>16</v>
      </c>
      <c r="P339">
        <v>0.06975116951377336</v>
      </c>
      <c r="Q339">
        <v>0.194952171713739</v>
      </c>
      <c r="R339" t="s">
        <v>776</v>
      </c>
      <c r="S339" t="s">
        <v>787</v>
      </c>
      <c r="T339">
        <v>14516.845997</v>
      </c>
      <c r="U339" s="2">
        <v>44439</v>
      </c>
      <c r="V339" t="s">
        <v>796</v>
      </c>
    </row>
    <row r="340" spans="1:22">
      <c r="A340" s="1" t="s">
        <v>360</v>
      </c>
      <c r="B340">
        <f>HYPERLINK("https://www.suredividend.com/sure-analysis-SAXPY/","Sampo Plc")</f>
        <v>0</v>
      </c>
      <c r="C340">
        <v>26.3499</v>
      </c>
      <c r="D340">
        <v>31</v>
      </c>
      <c r="E340">
        <v>0.8499967741935485</v>
      </c>
      <c r="F340">
        <v>0.03908933240733362</v>
      </c>
      <c r="G340">
        <v>0.0330385882051325</v>
      </c>
      <c r="H340">
        <v>0.025</v>
      </c>
      <c r="I340">
        <v>0.09050461257814835</v>
      </c>
      <c r="J340" t="s">
        <v>378</v>
      </c>
      <c r="K340" t="s">
        <v>773</v>
      </c>
      <c r="L340">
        <v>28.29</v>
      </c>
      <c r="M340">
        <v>1.03</v>
      </c>
      <c r="N340">
        <v>0.03640862495581478</v>
      </c>
      <c r="O340">
        <v>0</v>
      </c>
      <c r="P340">
        <v>0.02581661126327583</v>
      </c>
      <c r="Q340">
        <v>0.272072936660268</v>
      </c>
      <c r="R340" t="s">
        <v>776</v>
      </c>
      <c r="S340" t="s">
        <v>786</v>
      </c>
      <c r="T340">
        <v>29381.131087</v>
      </c>
      <c r="U340" s="2">
        <v>44417</v>
      </c>
      <c r="V340" t="s">
        <v>792</v>
      </c>
    </row>
    <row r="341" spans="1:22">
      <c r="A341" s="1" t="s">
        <v>361</v>
      </c>
      <c r="B341">
        <f>HYPERLINK("https://www.suredividend.com/sure-analysis-AEG/","Aegon N. V.")</f>
        <v>0</v>
      </c>
      <c r="C341">
        <v>5.12</v>
      </c>
      <c r="D341">
        <v>5.6</v>
      </c>
      <c r="E341">
        <v>0.9142857142857144</v>
      </c>
      <c r="F341">
        <v>0.033203125</v>
      </c>
      <c r="G341">
        <v>0.01808400232019891</v>
      </c>
      <c r="H341">
        <v>0.04</v>
      </c>
      <c r="I341">
        <v>0.09036481909864391</v>
      </c>
      <c r="J341" t="s">
        <v>378</v>
      </c>
      <c r="K341" t="s">
        <v>378</v>
      </c>
      <c r="L341">
        <v>0.7</v>
      </c>
      <c r="M341">
        <v>0.17</v>
      </c>
      <c r="N341">
        <v>0.2428571428571429</v>
      </c>
      <c r="O341">
        <v>0</v>
      </c>
      <c r="P341">
        <v>0.0801851873035635</v>
      </c>
      <c r="Q341">
        <v>0.907918968692449</v>
      </c>
      <c r="R341" t="s">
        <v>776</v>
      </c>
      <c r="S341" t="s">
        <v>786</v>
      </c>
      <c r="T341">
        <v>10904.619424</v>
      </c>
      <c r="U341" s="2">
        <v>44438</v>
      </c>
      <c r="V341" t="s">
        <v>796</v>
      </c>
    </row>
    <row r="342" spans="1:22">
      <c r="A342" s="1" t="s">
        <v>362</v>
      </c>
      <c r="B342">
        <f>HYPERLINK("https://www.suredividend.com/sure-analysis-PFG/","Principal Financial Group Inc")</f>
        <v>0</v>
      </c>
      <c r="C342">
        <v>68.61</v>
      </c>
      <c r="D342">
        <v>71</v>
      </c>
      <c r="E342">
        <v>0.966338028169014</v>
      </c>
      <c r="F342">
        <v>0.03672933974639266</v>
      </c>
      <c r="G342">
        <v>0.006871819406315316</v>
      </c>
      <c r="H342">
        <v>0.05</v>
      </c>
      <c r="I342">
        <v>0.09021122419242533</v>
      </c>
      <c r="J342" t="s">
        <v>378</v>
      </c>
      <c r="K342" t="s">
        <v>378</v>
      </c>
      <c r="L342">
        <v>6.45</v>
      </c>
      <c r="M342">
        <v>2.52</v>
      </c>
      <c r="N342">
        <v>0.3906976744186046</v>
      </c>
      <c r="O342">
        <v>14</v>
      </c>
      <c r="P342">
        <v>0.05985358218414349</v>
      </c>
      <c r="Q342">
        <v>0.7336208812299231</v>
      </c>
      <c r="R342" t="s">
        <v>776</v>
      </c>
      <c r="S342" t="s">
        <v>786</v>
      </c>
      <c r="T342">
        <v>18425.255789</v>
      </c>
      <c r="U342" s="2">
        <v>44410</v>
      </c>
      <c r="V342" t="s">
        <v>794</v>
      </c>
    </row>
    <row r="343" spans="1:22">
      <c r="A343" s="1" t="s">
        <v>363</v>
      </c>
      <c r="B343">
        <f>HYPERLINK("https://www.suredividend.com/sure-analysis-KLAC/","KLA Corp.")</f>
        <v>0</v>
      </c>
      <c r="C343">
        <v>326.77</v>
      </c>
      <c r="D343">
        <v>323</v>
      </c>
      <c r="E343">
        <v>1.011671826625387</v>
      </c>
      <c r="F343">
        <v>0.01285307708785996</v>
      </c>
      <c r="G343">
        <v>-0.002318156173027774</v>
      </c>
      <c r="H343">
        <v>0.08</v>
      </c>
      <c r="I343">
        <v>0.09000492618512479</v>
      </c>
      <c r="J343" t="s">
        <v>378</v>
      </c>
      <c r="K343" t="s">
        <v>486</v>
      </c>
      <c r="L343">
        <v>19</v>
      </c>
      <c r="M343">
        <v>4.2</v>
      </c>
      <c r="N343">
        <v>0.2210526315789474</v>
      </c>
      <c r="O343">
        <v>12</v>
      </c>
      <c r="P343">
        <v>0.09986525071768737</v>
      </c>
      <c r="Q343">
        <v>0.599570725960143</v>
      </c>
      <c r="R343" t="s">
        <v>776</v>
      </c>
      <c r="S343" t="s">
        <v>784</v>
      </c>
      <c r="T343">
        <v>50020.797899</v>
      </c>
      <c r="U343" s="2">
        <v>44417</v>
      </c>
      <c r="V343" t="s">
        <v>794</v>
      </c>
    </row>
    <row r="344" spans="1:22">
      <c r="A344" s="1" t="s">
        <v>364</v>
      </c>
      <c r="B344">
        <f>HYPERLINK("https://www.suredividend.com/sure-analysis-DDAIF/","Daimler AG")</f>
        <v>0</v>
      </c>
      <c r="C344">
        <v>95.11499999999999</v>
      </c>
      <c r="D344">
        <v>124</v>
      </c>
      <c r="E344">
        <v>0.7670564516129031</v>
      </c>
      <c r="F344">
        <v>0.01713714976607265</v>
      </c>
      <c r="G344">
        <v>0.05447074332476509</v>
      </c>
      <c r="H344">
        <v>0.02</v>
      </c>
      <c r="I344">
        <v>0.08882522610660315</v>
      </c>
      <c r="J344" t="s">
        <v>378</v>
      </c>
      <c r="K344" t="s">
        <v>486</v>
      </c>
      <c r="L344">
        <v>15.5</v>
      </c>
      <c r="M344">
        <v>1.63</v>
      </c>
      <c r="N344">
        <v>0.1051612903225806</v>
      </c>
      <c r="O344">
        <v>1</v>
      </c>
      <c r="P344">
        <v>0.02003947753885926</v>
      </c>
      <c r="Q344">
        <v>0.679282868525896</v>
      </c>
      <c r="R344" t="s">
        <v>776</v>
      </c>
      <c r="S344" t="s">
        <v>788</v>
      </c>
      <c r="T344">
        <v>103715.391299</v>
      </c>
      <c r="U344" s="2">
        <v>44402</v>
      </c>
      <c r="V344" t="s">
        <v>794</v>
      </c>
    </row>
    <row r="345" spans="1:22">
      <c r="A345" s="1" t="s">
        <v>365</v>
      </c>
      <c r="B345">
        <f>HYPERLINK("https://www.suredividend.com/sure-analysis-FAF/","First American Financial Corp")</f>
        <v>0</v>
      </c>
      <c r="C345">
        <v>72.88</v>
      </c>
      <c r="D345">
        <v>78</v>
      </c>
      <c r="E345">
        <v>0.9343589743589743</v>
      </c>
      <c r="F345">
        <v>0.02799121844127333</v>
      </c>
      <c r="G345">
        <v>0.01367152692662454</v>
      </c>
      <c r="H345">
        <v>0.05</v>
      </c>
      <c r="I345">
        <v>0.08851997642246245</v>
      </c>
      <c r="J345" t="s">
        <v>378</v>
      </c>
      <c r="K345" t="s">
        <v>378</v>
      </c>
      <c r="L345">
        <v>7.12</v>
      </c>
      <c r="M345">
        <v>2.04</v>
      </c>
      <c r="N345">
        <v>0.2865168539325842</v>
      </c>
      <c r="O345">
        <v>10</v>
      </c>
      <c r="P345">
        <v>0.04970831195077574</v>
      </c>
      <c r="Q345">
        <v>0.378735882374003</v>
      </c>
      <c r="R345" t="s">
        <v>776</v>
      </c>
      <c r="S345" t="s">
        <v>786</v>
      </c>
      <c r="T345">
        <v>8041.741274</v>
      </c>
      <c r="U345" s="2">
        <v>44400</v>
      </c>
      <c r="V345" t="s">
        <v>793</v>
      </c>
    </row>
    <row r="346" spans="1:22">
      <c r="A346" s="1" t="s">
        <v>366</v>
      </c>
      <c r="B346">
        <f>HYPERLINK("https://www.suredividend.com/sure-analysis-SUN/","Sunoco LP")</f>
        <v>0</v>
      </c>
      <c r="C346">
        <v>41.84</v>
      </c>
      <c r="D346">
        <v>44</v>
      </c>
      <c r="E346">
        <v>0.950909090909091</v>
      </c>
      <c r="F346">
        <v>0.0788718929254302</v>
      </c>
      <c r="G346">
        <v>0.01011820921593642</v>
      </c>
      <c r="H346">
        <v>0.015</v>
      </c>
      <c r="I346">
        <v>0.08838490764602747</v>
      </c>
      <c r="J346" t="s">
        <v>378</v>
      </c>
      <c r="K346" t="s">
        <v>772</v>
      </c>
      <c r="L346">
        <v>6.75</v>
      </c>
      <c r="M346">
        <v>3.3</v>
      </c>
      <c r="N346">
        <v>0.4888888888888889</v>
      </c>
      <c r="O346">
        <v>0</v>
      </c>
      <c r="P346">
        <v>0</v>
      </c>
      <c r="Q346">
        <v>0.8557593222909701</v>
      </c>
      <c r="R346" t="s">
        <v>777</v>
      </c>
      <c r="S346" t="s">
        <v>789</v>
      </c>
      <c r="T346">
        <v>3467.448317</v>
      </c>
      <c r="U346" s="2">
        <v>44417</v>
      </c>
      <c r="V346" t="s">
        <v>794</v>
      </c>
    </row>
    <row r="347" spans="1:22">
      <c r="A347" s="1" t="s">
        <v>367</v>
      </c>
      <c r="B347">
        <f>HYPERLINK("https://www.suredividend.com/sure-analysis-ALE/","Allete, Inc.")</f>
        <v>0</v>
      </c>
      <c r="C347">
        <v>62.14</v>
      </c>
      <c r="D347">
        <v>63</v>
      </c>
      <c r="E347">
        <v>0.9863492063492063</v>
      </c>
      <c r="F347">
        <v>0.04055358867074348</v>
      </c>
      <c r="G347">
        <v>0.002752746352809421</v>
      </c>
      <c r="H347">
        <v>0.05</v>
      </c>
      <c r="I347">
        <v>0.08672458858395782</v>
      </c>
      <c r="J347" t="s">
        <v>378</v>
      </c>
      <c r="K347" t="s">
        <v>773</v>
      </c>
      <c r="L347">
        <v>3.15</v>
      </c>
      <c r="M347">
        <v>2.52</v>
      </c>
      <c r="N347">
        <v>0.8</v>
      </c>
      <c r="O347">
        <v>10</v>
      </c>
      <c r="P347">
        <v>0.02990332946790675</v>
      </c>
      <c r="Q347">
        <v>0.226228007240034</v>
      </c>
      <c r="R347" t="s">
        <v>776</v>
      </c>
      <c r="S347" t="s">
        <v>787</v>
      </c>
      <c r="T347">
        <v>3332.092586</v>
      </c>
      <c r="U347" s="2">
        <v>44417</v>
      </c>
      <c r="V347" t="s">
        <v>793</v>
      </c>
    </row>
    <row r="348" spans="1:22">
      <c r="A348" s="1" t="s">
        <v>368</v>
      </c>
      <c r="B348">
        <f>HYPERLINK("https://www.suredividend.com/sure-analysis-TTE/","TotalEnergies SE")</f>
        <v>0</v>
      </c>
      <c r="C348">
        <v>51.88</v>
      </c>
      <c r="D348">
        <v>54</v>
      </c>
      <c r="E348">
        <v>0.9607407407407408</v>
      </c>
      <c r="F348">
        <v>0.0597532767925983</v>
      </c>
      <c r="G348">
        <v>0.00804230440392617</v>
      </c>
      <c r="H348">
        <v>0.03</v>
      </c>
      <c r="I348">
        <v>0.08657506794396608</v>
      </c>
      <c r="J348" t="s">
        <v>378</v>
      </c>
      <c r="K348" t="s">
        <v>772</v>
      </c>
      <c r="L348">
        <v>4.5</v>
      </c>
      <c r="M348">
        <v>3.1</v>
      </c>
      <c r="N348">
        <v>0.6888888888888889</v>
      </c>
      <c r="O348">
        <v>3</v>
      </c>
      <c r="P348">
        <v>0.01011583942602723</v>
      </c>
      <c r="Q348">
        <v>0.6191116078717011</v>
      </c>
      <c r="R348" t="s">
        <v>776</v>
      </c>
      <c r="S348" t="s">
        <v>789</v>
      </c>
      <c r="T348">
        <v>136166.940497</v>
      </c>
      <c r="U348" s="2">
        <v>44425</v>
      </c>
      <c r="V348" t="s">
        <v>796</v>
      </c>
    </row>
    <row r="349" spans="1:22">
      <c r="A349" s="1" t="s">
        <v>369</v>
      </c>
      <c r="B349">
        <f>HYPERLINK("https://www.suredividend.com/sure-analysis-NAVI/","Navient Corp")</f>
        <v>0</v>
      </c>
      <c r="C349">
        <v>20.17</v>
      </c>
      <c r="D349">
        <v>26</v>
      </c>
      <c r="E349">
        <v>0.7757692307692309</v>
      </c>
      <c r="F349">
        <v>0.03173029251363411</v>
      </c>
      <c r="G349">
        <v>0.05209144686047829</v>
      </c>
      <c r="H349">
        <v>0.01</v>
      </c>
      <c r="I349">
        <v>0.08640947309730973</v>
      </c>
      <c r="J349" t="s">
        <v>378</v>
      </c>
      <c r="K349" t="s">
        <v>378</v>
      </c>
      <c r="L349">
        <v>4.25</v>
      </c>
      <c r="M349">
        <v>0.64</v>
      </c>
      <c r="N349">
        <v>0.1505882352941177</v>
      </c>
      <c r="O349">
        <v>0</v>
      </c>
      <c r="P349">
        <v>0</v>
      </c>
      <c r="Q349">
        <v>1.134524165633947</v>
      </c>
      <c r="R349" t="s">
        <v>776</v>
      </c>
      <c r="S349" t="s">
        <v>786</v>
      </c>
      <c r="T349">
        <v>3353.446956</v>
      </c>
      <c r="U349" s="2">
        <v>44410</v>
      </c>
      <c r="V349" t="s">
        <v>794</v>
      </c>
    </row>
    <row r="350" spans="1:22">
      <c r="A350" s="1" t="s">
        <v>370</v>
      </c>
      <c r="B350">
        <f>HYPERLINK("https://www.suredividend.com/sure-analysis-MPLX/","MPLX LP")</f>
        <v>0</v>
      </c>
      <c r="C350">
        <v>30.84</v>
      </c>
      <c r="D350">
        <v>29</v>
      </c>
      <c r="E350">
        <v>1.063448275862069</v>
      </c>
      <c r="F350">
        <v>0.08916990920881972</v>
      </c>
      <c r="G350">
        <v>-0.01222796705323614</v>
      </c>
      <c r="H350">
        <v>0.02</v>
      </c>
      <c r="I350">
        <v>0.0861857252946423</v>
      </c>
      <c r="J350" t="s">
        <v>378</v>
      </c>
      <c r="K350" t="s">
        <v>772</v>
      </c>
      <c r="L350">
        <v>4.1</v>
      </c>
      <c r="M350">
        <v>2.75</v>
      </c>
      <c r="N350">
        <v>0.6707317073170732</v>
      </c>
      <c r="O350">
        <v>8</v>
      </c>
      <c r="P350">
        <v>0.02025369886610107</v>
      </c>
      <c r="Q350">
        <v>1.058650366812862</v>
      </c>
      <c r="R350" t="s">
        <v>777</v>
      </c>
      <c r="S350" t="s">
        <v>789</v>
      </c>
      <c r="T350">
        <v>31917.429087</v>
      </c>
      <c r="U350" s="2">
        <v>44416</v>
      </c>
      <c r="V350" t="s">
        <v>797</v>
      </c>
    </row>
    <row r="351" spans="1:22">
      <c r="A351" s="1" t="s">
        <v>371</v>
      </c>
      <c r="B351">
        <f>HYPERLINK("https://www.suredividend.com/sure-analysis-TM/","Toyota Motor Corporation")</f>
        <v>0</v>
      </c>
      <c r="C351">
        <v>178.55</v>
      </c>
      <c r="D351">
        <v>209</v>
      </c>
      <c r="E351">
        <v>0.8543062200956938</v>
      </c>
      <c r="F351">
        <v>0.02744329319518342</v>
      </c>
      <c r="G351">
        <v>0.03199427089421825</v>
      </c>
      <c r="H351">
        <v>0.03</v>
      </c>
      <c r="I351">
        <v>0.08363089617068842</v>
      </c>
      <c r="J351" t="s">
        <v>378</v>
      </c>
      <c r="K351" t="s">
        <v>378</v>
      </c>
      <c r="L351">
        <v>23.25</v>
      </c>
      <c r="M351">
        <v>4.9</v>
      </c>
      <c r="N351">
        <v>0.210752688172043</v>
      </c>
      <c r="O351">
        <v>2</v>
      </c>
      <c r="P351">
        <v>0</v>
      </c>
      <c r="Q351">
        <v>0.370963602226892</v>
      </c>
      <c r="R351" t="s">
        <v>776</v>
      </c>
      <c r="S351" t="s">
        <v>788</v>
      </c>
      <c r="T351">
        <v>287584.283957</v>
      </c>
      <c r="U351" s="2">
        <v>44434</v>
      </c>
      <c r="V351" t="s">
        <v>794</v>
      </c>
    </row>
    <row r="352" spans="1:22">
      <c r="A352" s="1" t="s">
        <v>372</v>
      </c>
      <c r="B352">
        <f>HYPERLINK("https://www.suredividend.com/sure-analysis-BASFY/","Basf SE")</f>
        <v>0</v>
      </c>
      <c r="C352">
        <v>18.62</v>
      </c>
      <c r="D352">
        <v>19.6</v>
      </c>
      <c r="E352">
        <v>0.95</v>
      </c>
      <c r="F352">
        <v>0.05048335123523093</v>
      </c>
      <c r="G352">
        <v>0.01031145931793609</v>
      </c>
      <c r="H352">
        <v>0.03</v>
      </c>
      <c r="I352">
        <v>0.0832732658244324</v>
      </c>
      <c r="J352" t="s">
        <v>378</v>
      </c>
      <c r="K352" t="s">
        <v>773</v>
      </c>
      <c r="L352">
        <v>1.51</v>
      </c>
      <c r="M352">
        <v>0.9399999999999999</v>
      </c>
      <c r="N352">
        <v>0.6225165562913907</v>
      </c>
      <c r="O352">
        <v>0</v>
      </c>
      <c r="P352">
        <v>0.02431988176177757</v>
      </c>
      <c r="Q352">
        <v>0.263182179899557</v>
      </c>
      <c r="R352" t="s">
        <v>776</v>
      </c>
      <c r="S352" t="s">
        <v>782</v>
      </c>
      <c r="T352">
        <v>69398.413161</v>
      </c>
      <c r="U352" s="2">
        <v>44406</v>
      </c>
      <c r="V352" t="s">
        <v>802</v>
      </c>
    </row>
    <row r="353" spans="1:22">
      <c r="A353" s="1" t="s">
        <v>373</v>
      </c>
      <c r="B353">
        <f>HYPERLINK("https://www.suredividend.com/sure-analysis-IVZ/","Invesco Ltd")</f>
        <v>0</v>
      </c>
      <c r="C353">
        <v>24.73</v>
      </c>
      <c r="D353">
        <v>30</v>
      </c>
      <c r="E353">
        <v>0.8243333333333334</v>
      </c>
      <c r="F353">
        <v>0.0274969672462596</v>
      </c>
      <c r="G353">
        <v>0.03939213845877476</v>
      </c>
      <c r="H353">
        <v>0.02</v>
      </c>
      <c r="I353">
        <v>0.08267048023035795</v>
      </c>
      <c r="J353" t="s">
        <v>378</v>
      </c>
      <c r="K353" t="s">
        <v>378</v>
      </c>
      <c r="L353">
        <v>3</v>
      </c>
      <c r="M353">
        <v>0.68</v>
      </c>
      <c r="N353">
        <v>0.2266666666666667</v>
      </c>
      <c r="O353">
        <v>1</v>
      </c>
      <c r="P353">
        <v>0.02517111829582741</v>
      </c>
      <c r="Q353">
        <v>0.8408014973026531</v>
      </c>
      <c r="R353" t="s">
        <v>776</v>
      </c>
      <c r="S353" t="s">
        <v>786</v>
      </c>
      <c r="T353">
        <v>11571.705943</v>
      </c>
      <c r="U353" s="2">
        <v>44410</v>
      </c>
      <c r="V353" t="s">
        <v>794</v>
      </c>
    </row>
    <row r="354" spans="1:22">
      <c r="A354" s="1" t="s">
        <v>374</v>
      </c>
      <c r="B354">
        <f>HYPERLINK("https://www.suredividend.com/sure-analysis-CPB/","Campbell Soup Co.")</f>
        <v>0</v>
      </c>
      <c r="C354">
        <v>40.86</v>
      </c>
      <c r="D354">
        <v>46</v>
      </c>
      <c r="E354">
        <v>0.8882608695652173</v>
      </c>
      <c r="F354">
        <v>0.03622124326970142</v>
      </c>
      <c r="G354">
        <v>0.02398098941433857</v>
      </c>
      <c r="H354">
        <v>0.025</v>
      </c>
      <c r="I354">
        <v>0.07904445707837771</v>
      </c>
      <c r="J354" t="s">
        <v>378</v>
      </c>
      <c r="K354" t="s">
        <v>773</v>
      </c>
      <c r="L354">
        <v>2.8</v>
      </c>
      <c r="M354">
        <v>1.48</v>
      </c>
      <c r="N354">
        <v>0.5285714285714286</v>
      </c>
      <c r="O354">
        <v>0</v>
      </c>
      <c r="P354">
        <v>0.01444167341264735</v>
      </c>
      <c r="Q354">
        <v>-0.131574116857716</v>
      </c>
      <c r="R354" t="s">
        <v>776</v>
      </c>
      <c r="S354" t="s">
        <v>785</v>
      </c>
      <c r="T354">
        <v>12410.470302</v>
      </c>
      <c r="U354" s="2">
        <v>44453</v>
      </c>
      <c r="V354" t="s">
        <v>793</v>
      </c>
    </row>
    <row r="355" spans="1:22">
      <c r="A355" s="1" t="s">
        <v>375</v>
      </c>
      <c r="B355">
        <f>HYPERLINK("https://www.suredividend.com/sure-analysis-JBL/","Jabil Inc")</f>
        <v>0</v>
      </c>
      <c r="C355">
        <v>62.13</v>
      </c>
      <c r="D355">
        <v>63</v>
      </c>
      <c r="E355">
        <v>0.9861904761904763</v>
      </c>
      <c r="F355">
        <v>0.005150490906164494</v>
      </c>
      <c r="G355">
        <v>0.002785023455472491</v>
      </c>
      <c r="H355">
        <v>0.07000000000000001</v>
      </c>
      <c r="I355">
        <v>0.07746227058377619</v>
      </c>
      <c r="J355" t="s">
        <v>378</v>
      </c>
      <c r="K355" t="s">
        <v>774</v>
      </c>
      <c r="L355">
        <v>5.5</v>
      </c>
      <c r="M355">
        <v>0.32</v>
      </c>
      <c r="N355">
        <v>0.05818181818181818</v>
      </c>
      <c r="O355">
        <v>0</v>
      </c>
      <c r="P355">
        <v>0.05081623913789235</v>
      </c>
      <c r="Q355">
        <v>0.7293591720374041</v>
      </c>
      <c r="R355" t="s">
        <v>776</v>
      </c>
      <c r="S355" t="s">
        <v>784</v>
      </c>
      <c r="T355">
        <v>9093.935727</v>
      </c>
      <c r="U355" s="2">
        <v>44369</v>
      </c>
      <c r="V355" t="s">
        <v>793</v>
      </c>
    </row>
    <row r="356" spans="1:22">
      <c r="A356" s="1" t="s">
        <v>376</v>
      </c>
      <c r="B356">
        <f>HYPERLINK("https://www.suredividend.com/sure-analysis-PKX/","Posco")</f>
        <v>0</v>
      </c>
      <c r="C356">
        <v>67.23999999999999</v>
      </c>
      <c r="D356">
        <v>111</v>
      </c>
      <c r="E356">
        <v>0.6057657657657657</v>
      </c>
      <c r="F356">
        <v>0.03152885187388459</v>
      </c>
      <c r="G356">
        <v>0.1054498747141546</v>
      </c>
      <c r="H356">
        <v>-0.05</v>
      </c>
      <c r="I356">
        <v>0.07490636841420284</v>
      </c>
      <c r="J356" t="s">
        <v>378</v>
      </c>
      <c r="K356" t="s">
        <v>378</v>
      </c>
      <c r="L356">
        <v>11.13</v>
      </c>
      <c r="M356">
        <v>2.12</v>
      </c>
      <c r="N356">
        <v>0.1904761904761905</v>
      </c>
      <c r="O356">
        <v>0</v>
      </c>
      <c r="P356">
        <v>0</v>
      </c>
      <c r="Q356">
        <v>0.6201097705117551</v>
      </c>
      <c r="R356" t="s">
        <v>776</v>
      </c>
      <c r="S356" t="s">
        <v>782</v>
      </c>
      <c r="T356">
        <v>24140.290875</v>
      </c>
      <c r="U356" s="2">
        <v>44422</v>
      </c>
      <c r="V356" t="s">
        <v>791</v>
      </c>
    </row>
    <row r="357" spans="1:22">
      <c r="A357" s="1" t="s">
        <v>377</v>
      </c>
      <c r="B357">
        <f>HYPERLINK("https://www.suredividend.com/sure-analysis-CE/","Celanese Corp")</f>
        <v>0</v>
      </c>
      <c r="C357">
        <v>163.98</v>
      </c>
      <c r="D357">
        <v>178</v>
      </c>
      <c r="E357">
        <v>0.9212359550561797</v>
      </c>
      <c r="F357">
        <v>0.01658738870593975</v>
      </c>
      <c r="G357">
        <v>0.01654316368023712</v>
      </c>
      <c r="H357">
        <v>0.04</v>
      </c>
      <c r="I357">
        <v>0.07446484705591327</v>
      </c>
      <c r="J357" t="s">
        <v>378</v>
      </c>
      <c r="K357" t="s">
        <v>486</v>
      </c>
      <c r="L357">
        <v>15.5</v>
      </c>
      <c r="M357">
        <v>2.72</v>
      </c>
      <c r="N357">
        <v>0.175483870967742</v>
      </c>
      <c r="O357">
        <v>11</v>
      </c>
      <c r="P357">
        <v>0.09997050830829379</v>
      </c>
      <c r="Q357">
        <v>0.398825241514925</v>
      </c>
      <c r="R357" t="s">
        <v>776</v>
      </c>
      <c r="S357" t="s">
        <v>783</v>
      </c>
      <c r="T357">
        <v>18306.26907</v>
      </c>
      <c r="U357" s="2">
        <v>44400</v>
      </c>
      <c r="V357" t="s">
        <v>793</v>
      </c>
    </row>
    <row r="358" spans="1:22">
      <c r="A358" s="1" t="s">
        <v>378</v>
      </c>
      <c r="B358">
        <f>HYPERLINK("https://www.suredividend.com/sure-analysis-C/","Citigroup Inc")</f>
        <v>0</v>
      </c>
      <c r="C358">
        <v>71.61</v>
      </c>
      <c r="D358">
        <v>105</v>
      </c>
      <c r="E358">
        <v>0.6819999999999999</v>
      </c>
      <c r="F358">
        <v>0.0284876413908672</v>
      </c>
      <c r="G358">
        <v>0.07955090313889812</v>
      </c>
      <c r="H358">
        <v>-0.03</v>
      </c>
      <c r="I358">
        <v>0.07406010724647949</v>
      </c>
      <c r="J358" t="s">
        <v>378</v>
      </c>
      <c r="K358" t="s">
        <v>378</v>
      </c>
      <c r="L358">
        <v>10.5</v>
      </c>
      <c r="M358">
        <v>2.04</v>
      </c>
      <c r="N358">
        <v>0.1942857142857143</v>
      </c>
      <c r="O358">
        <v>6</v>
      </c>
      <c r="P358">
        <v>0.06000153927394081</v>
      </c>
      <c r="Q358">
        <v>0.733689552296077</v>
      </c>
      <c r="R358" t="s">
        <v>776</v>
      </c>
      <c r="S358" t="s">
        <v>786</v>
      </c>
      <c r="T358">
        <v>146516.300879</v>
      </c>
      <c r="U358" s="2">
        <v>44485</v>
      </c>
      <c r="V358" t="s">
        <v>795</v>
      </c>
    </row>
    <row r="359" spans="1:22">
      <c r="A359" s="1" t="s">
        <v>379</v>
      </c>
      <c r="B359">
        <f>HYPERLINK("https://www.suredividend.com/sure-analysis-FLO/","Flowers Foods, Inc.")</f>
        <v>0</v>
      </c>
      <c r="C359">
        <v>24.88</v>
      </c>
      <c r="D359">
        <v>24</v>
      </c>
      <c r="E359">
        <v>1.036666666666667</v>
      </c>
      <c r="F359">
        <v>0.03376205787781351</v>
      </c>
      <c r="G359">
        <v>-0.007176214622575339</v>
      </c>
      <c r="H359">
        <v>0.05</v>
      </c>
      <c r="I359">
        <v>0.07384301139454719</v>
      </c>
      <c r="J359" t="s">
        <v>378</v>
      </c>
      <c r="K359" t="s">
        <v>773</v>
      </c>
      <c r="L359">
        <v>1.2</v>
      </c>
      <c r="M359">
        <v>0.84</v>
      </c>
      <c r="N359">
        <v>0.7</v>
      </c>
      <c r="O359">
        <v>19</v>
      </c>
      <c r="P359">
        <v>0.05154749679728043</v>
      </c>
      <c r="Q359">
        <v>0.03942488209167001</v>
      </c>
      <c r="R359" t="s">
        <v>776</v>
      </c>
      <c r="S359" t="s">
        <v>785</v>
      </c>
      <c r="T359">
        <v>5287.501175</v>
      </c>
      <c r="U359" s="2">
        <v>44422</v>
      </c>
      <c r="V359" t="s">
        <v>797</v>
      </c>
    </row>
    <row r="360" spans="1:22">
      <c r="A360" s="1" t="s">
        <v>380</v>
      </c>
      <c r="B360">
        <f>HYPERLINK("https://www.suredividend.com/sure-analysis-DFS/","Discover Financial Services")</f>
        <v>0</v>
      </c>
      <c r="C360">
        <v>130.05</v>
      </c>
      <c r="D360">
        <v>148</v>
      </c>
      <c r="E360">
        <v>0.8787162162162163</v>
      </c>
      <c r="F360">
        <v>0.01537870049980776</v>
      </c>
      <c r="G360">
        <v>0.02619589197380789</v>
      </c>
      <c r="H360">
        <v>0.03</v>
      </c>
      <c r="I360">
        <v>0.07132390785387588</v>
      </c>
      <c r="J360" t="s">
        <v>378</v>
      </c>
      <c r="K360" t="s">
        <v>486</v>
      </c>
      <c r="L360">
        <v>15.6</v>
      </c>
      <c r="M360">
        <v>2</v>
      </c>
      <c r="N360">
        <v>0.1282051282051282</v>
      </c>
      <c r="O360">
        <v>10</v>
      </c>
      <c r="P360">
        <v>0.0602809527753625</v>
      </c>
      <c r="Q360">
        <v>1.009972898717703</v>
      </c>
      <c r="R360" t="s">
        <v>776</v>
      </c>
      <c r="S360" t="s">
        <v>786</v>
      </c>
      <c r="T360">
        <v>38712.285239</v>
      </c>
      <c r="U360" s="2">
        <v>44403</v>
      </c>
      <c r="V360" t="s">
        <v>794</v>
      </c>
    </row>
    <row r="361" spans="1:22">
      <c r="A361" s="1" t="s">
        <v>381</v>
      </c>
      <c r="B361">
        <f>HYPERLINK("https://www.suredividend.com/sure-analysis-RCI/","Rogers Communications Inc.")</f>
        <v>0</v>
      </c>
      <c r="C361">
        <v>48.74</v>
      </c>
      <c r="D361">
        <v>47</v>
      </c>
      <c r="E361">
        <v>1.037021276595745</v>
      </c>
      <c r="F361">
        <v>0.03282724661469019</v>
      </c>
      <c r="G361">
        <v>-0.007244123226861854</v>
      </c>
      <c r="H361">
        <v>0.05</v>
      </c>
      <c r="I361">
        <v>0.07112569077240871</v>
      </c>
      <c r="J361" t="s">
        <v>378</v>
      </c>
      <c r="K361" t="s">
        <v>773</v>
      </c>
      <c r="L361">
        <v>3.1</v>
      </c>
      <c r="M361">
        <v>1.6</v>
      </c>
      <c r="N361">
        <v>0.5161290322580645</v>
      </c>
      <c r="O361">
        <v>0</v>
      </c>
      <c r="P361">
        <v>0.02946206823925857</v>
      </c>
      <c r="Q361">
        <v>0.24787611789962</v>
      </c>
      <c r="R361" t="s">
        <v>776</v>
      </c>
      <c r="S361" t="s">
        <v>780</v>
      </c>
      <c r="T361">
        <v>19318.449757</v>
      </c>
      <c r="U361" s="2">
        <v>44398</v>
      </c>
      <c r="V361" t="s">
        <v>796</v>
      </c>
    </row>
    <row r="362" spans="1:22">
      <c r="A362" s="1" t="s">
        <v>382</v>
      </c>
      <c r="B362">
        <f>HYPERLINK("https://www.suredividend.com/sure-analysis-GIS/","General Mills, Inc.")</f>
        <v>0</v>
      </c>
      <c r="C362">
        <v>61.52</v>
      </c>
      <c r="D362">
        <v>65</v>
      </c>
      <c r="E362">
        <v>0.9464615384615385</v>
      </c>
      <c r="F362">
        <v>0.03413524057217165</v>
      </c>
      <c r="G362">
        <v>0.01106576657822833</v>
      </c>
      <c r="H362">
        <v>0.03</v>
      </c>
      <c r="I362">
        <v>0.07039790662223222</v>
      </c>
      <c r="J362" t="s">
        <v>378</v>
      </c>
      <c r="K362" t="s">
        <v>773</v>
      </c>
      <c r="L362">
        <v>3.8</v>
      </c>
      <c r="M362">
        <v>2.1</v>
      </c>
      <c r="N362">
        <v>0.5526315789473685</v>
      </c>
      <c r="O362">
        <v>1</v>
      </c>
      <c r="P362">
        <v>0.0183608813392091</v>
      </c>
      <c r="Q362">
        <v>0.022144826871753</v>
      </c>
      <c r="R362" t="s">
        <v>776</v>
      </c>
      <c r="S362" t="s">
        <v>785</v>
      </c>
      <c r="T362">
        <v>37649.842816</v>
      </c>
      <c r="U362" s="2">
        <v>44461</v>
      </c>
      <c r="V362" t="s">
        <v>796</v>
      </c>
    </row>
    <row r="363" spans="1:22">
      <c r="A363" s="1" t="s">
        <v>383</v>
      </c>
      <c r="B363">
        <f>HYPERLINK("https://www.suredividend.com/sure-analysis-SYF/","Synchrony Financial")</f>
        <v>0</v>
      </c>
      <c r="C363">
        <v>51.01</v>
      </c>
      <c r="D363">
        <v>57</v>
      </c>
      <c r="E363">
        <v>0.8949122807017543</v>
      </c>
      <c r="F363">
        <v>0.01725151930993923</v>
      </c>
      <c r="G363">
        <v>0.02245430165686146</v>
      </c>
      <c r="H363">
        <v>0.03</v>
      </c>
      <c r="I363">
        <v>0.06939902686084354</v>
      </c>
      <c r="J363" t="s">
        <v>378</v>
      </c>
      <c r="K363" t="s">
        <v>486</v>
      </c>
      <c r="L363">
        <v>6.3</v>
      </c>
      <c r="M363">
        <v>0.88</v>
      </c>
      <c r="N363">
        <v>0.1396825396825397</v>
      </c>
      <c r="O363">
        <v>4</v>
      </c>
      <c r="P363">
        <v>0.06042477819475911</v>
      </c>
      <c r="Q363">
        <v>0.7500052311834331</v>
      </c>
      <c r="R363" t="s">
        <v>776</v>
      </c>
      <c r="S363" t="s">
        <v>786</v>
      </c>
      <c r="T363">
        <v>28587.501641</v>
      </c>
      <c r="U363" s="2">
        <v>44404</v>
      </c>
      <c r="V363" t="s">
        <v>794</v>
      </c>
    </row>
    <row r="364" spans="1:22">
      <c r="A364" s="1" t="s">
        <v>384</v>
      </c>
      <c r="B364">
        <f>HYPERLINK("https://www.suredividend.com/sure-analysis-BWA/","BorgWarner Inc")</f>
        <v>0</v>
      </c>
      <c r="C364">
        <v>45.9</v>
      </c>
      <c r="D364">
        <v>47</v>
      </c>
      <c r="E364">
        <v>0.9765957446808511</v>
      </c>
      <c r="F364">
        <v>0.01481481481481482</v>
      </c>
      <c r="G364">
        <v>0.004747731861360682</v>
      </c>
      <c r="H364">
        <v>0.05</v>
      </c>
      <c r="I364">
        <v>0.06668228288346012</v>
      </c>
      <c r="J364" t="s">
        <v>378</v>
      </c>
      <c r="K364" t="s">
        <v>486</v>
      </c>
      <c r="L364">
        <v>4.28</v>
      </c>
      <c r="M364">
        <v>0.68</v>
      </c>
      <c r="N364">
        <v>0.1588785046728972</v>
      </c>
      <c r="O364">
        <v>0</v>
      </c>
      <c r="P364">
        <v>0</v>
      </c>
      <c r="Q364">
        <v>0.234379962257317</v>
      </c>
      <c r="R364" t="s">
        <v>776</v>
      </c>
      <c r="S364" t="s">
        <v>783</v>
      </c>
      <c r="T364">
        <v>11277.33193</v>
      </c>
      <c r="U364" s="2">
        <v>44470</v>
      </c>
      <c r="V364" t="s">
        <v>792</v>
      </c>
    </row>
    <row r="365" spans="1:22">
      <c r="A365" s="1" t="s">
        <v>385</v>
      </c>
      <c r="B365">
        <f>HYPERLINK("https://www.suredividend.com/sure-analysis-SVC/","Service Properties Trust")</f>
        <v>0</v>
      </c>
      <c r="C365">
        <v>11.38</v>
      </c>
      <c r="D365">
        <v>14</v>
      </c>
      <c r="E365">
        <v>0.8128571428571429</v>
      </c>
      <c r="F365">
        <v>0.00351493848857645</v>
      </c>
      <c r="G365">
        <v>0.04231060068295944</v>
      </c>
      <c r="H365">
        <v>0.02</v>
      </c>
      <c r="I365">
        <v>0.06589392258193372</v>
      </c>
      <c r="J365" t="s">
        <v>378</v>
      </c>
      <c r="K365" t="s">
        <v>774</v>
      </c>
      <c r="L365">
        <v>0.3</v>
      </c>
      <c r="M365">
        <v>0.04</v>
      </c>
      <c r="N365">
        <v>0.1333333333333333</v>
      </c>
      <c r="O365">
        <v>0</v>
      </c>
      <c r="P365">
        <v>0</v>
      </c>
      <c r="Q365">
        <v>0.513435601770822</v>
      </c>
      <c r="R365" t="s">
        <v>778</v>
      </c>
      <c r="S365" t="s">
        <v>790</v>
      </c>
      <c r="T365">
        <v>1938.727187</v>
      </c>
      <c r="U365" s="2">
        <v>44435</v>
      </c>
      <c r="V365" t="s">
        <v>794</v>
      </c>
    </row>
    <row r="366" spans="1:22">
      <c r="A366" s="1" t="s">
        <v>386</v>
      </c>
      <c r="B366">
        <f>HYPERLINK("https://www.suredividend.com/sure-analysis-PRU/","Prudential Financial Inc.")</f>
        <v>0</v>
      </c>
      <c r="C366">
        <v>110.51</v>
      </c>
      <c r="D366">
        <v>108</v>
      </c>
      <c r="E366">
        <v>1.023240740740741</v>
      </c>
      <c r="F366">
        <v>0.04162519229029046</v>
      </c>
      <c r="G366">
        <v>-0.004584416828920523</v>
      </c>
      <c r="H366">
        <v>0.03</v>
      </c>
      <c r="I366">
        <v>0.0645983272641768</v>
      </c>
      <c r="J366" t="s">
        <v>378</v>
      </c>
      <c r="K366" t="s">
        <v>773</v>
      </c>
      <c r="L366">
        <v>13.5</v>
      </c>
      <c r="M366">
        <v>4.6</v>
      </c>
      <c r="N366">
        <v>0.3407407407407407</v>
      </c>
      <c r="O366">
        <v>13</v>
      </c>
      <c r="P366">
        <v>0.04012620718096094</v>
      </c>
      <c r="Q366">
        <v>0.755720100843964</v>
      </c>
      <c r="R366" t="s">
        <v>776</v>
      </c>
      <c r="S366" t="s">
        <v>786</v>
      </c>
      <c r="T366">
        <v>42687.74</v>
      </c>
      <c r="U366" s="2">
        <v>44416</v>
      </c>
      <c r="V366" t="s">
        <v>797</v>
      </c>
    </row>
    <row r="367" spans="1:22">
      <c r="A367" s="1" t="s">
        <v>387</v>
      </c>
      <c r="B367">
        <f>HYPERLINK("https://www.suredividend.com/sure-analysis-NLSN/","Nielsen Holdings plc")</f>
        <v>0</v>
      </c>
      <c r="C367">
        <v>19.76</v>
      </c>
      <c r="D367">
        <v>22</v>
      </c>
      <c r="E367">
        <v>0.8981818181818183</v>
      </c>
      <c r="F367">
        <v>0.01214574898785425</v>
      </c>
      <c r="G367">
        <v>0.02170883324001882</v>
      </c>
      <c r="H367">
        <v>0.03</v>
      </c>
      <c r="I367">
        <v>0.06346743448576841</v>
      </c>
      <c r="J367" t="s">
        <v>378</v>
      </c>
      <c r="K367" t="s">
        <v>774</v>
      </c>
      <c r="L367">
        <v>1.58</v>
      </c>
      <c r="M367">
        <v>0.24</v>
      </c>
      <c r="N367">
        <v>0.1518987341772152</v>
      </c>
      <c r="O367">
        <v>0</v>
      </c>
      <c r="P367">
        <v>0.04563955259127317</v>
      </c>
      <c r="Q367">
        <v>0.433668363573075</v>
      </c>
      <c r="R367" t="s">
        <v>776</v>
      </c>
      <c r="S367" t="s">
        <v>783</v>
      </c>
      <c r="T367">
        <v>7093.478946</v>
      </c>
      <c r="U367" s="2">
        <v>44462</v>
      </c>
      <c r="V367" t="s">
        <v>794</v>
      </c>
    </row>
    <row r="368" spans="1:22">
      <c r="A368" s="1" t="s">
        <v>388</v>
      </c>
      <c r="B368">
        <f>HYPERLINK("https://www.suredividend.com/sure-analysis-BMWYY/","Bayerische Motoren Werke AG")</f>
        <v>0</v>
      </c>
      <c r="C368">
        <v>33.65</v>
      </c>
      <c r="D368">
        <v>35</v>
      </c>
      <c r="E368">
        <v>0.9614285714285714</v>
      </c>
      <c r="F368">
        <v>0.02288261515601783</v>
      </c>
      <c r="G368">
        <v>0.00789802724030908</v>
      </c>
      <c r="H368">
        <v>0.03</v>
      </c>
      <c r="I368">
        <v>0.0633406264411922</v>
      </c>
      <c r="J368" t="s">
        <v>378</v>
      </c>
      <c r="K368" t="s">
        <v>486</v>
      </c>
      <c r="L368">
        <v>4</v>
      </c>
      <c r="M368">
        <v>0.77</v>
      </c>
      <c r="N368">
        <v>0.1925</v>
      </c>
      <c r="O368">
        <v>0</v>
      </c>
      <c r="P368">
        <v>0.09998355396348346</v>
      </c>
      <c r="Q368">
        <v>0.376876267748478</v>
      </c>
      <c r="R368" t="s">
        <v>776</v>
      </c>
      <c r="S368" t="s">
        <v>788</v>
      </c>
      <c r="T368">
        <v>61295.150857</v>
      </c>
      <c r="U368" s="2">
        <v>44439</v>
      </c>
      <c r="V368" t="s">
        <v>796</v>
      </c>
    </row>
    <row r="369" spans="1:22">
      <c r="A369" s="1" t="s">
        <v>389</v>
      </c>
      <c r="B369">
        <f>HYPERLINK("https://www.suredividend.com/sure-analysis-WFC/","Wells Fargo &amp; Co.")</f>
        <v>0</v>
      </c>
      <c r="C369">
        <v>49.43</v>
      </c>
      <c r="D369">
        <v>50</v>
      </c>
      <c r="E369">
        <v>0.9886</v>
      </c>
      <c r="F369">
        <v>0.01618450333805381</v>
      </c>
      <c r="G369">
        <v>0.002295726776399665</v>
      </c>
      <c r="H369">
        <v>0.04</v>
      </c>
      <c r="I369">
        <v>0.06283541558675698</v>
      </c>
      <c r="J369" t="s">
        <v>378</v>
      </c>
      <c r="K369" t="s">
        <v>486</v>
      </c>
      <c r="L369">
        <v>4.35</v>
      </c>
      <c r="M369">
        <v>0.8</v>
      </c>
      <c r="N369">
        <v>0.1839080459770115</v>
      </c>
      <c r="O369">
        <v>0</v>
      </c>
      <c r="P369">
        <v>0.1501306516611158</v>
      </c>
      <c r="Q369">
        <v>1.146758784716213</v>
      </c>
      <c r="R369" t="s">
        <v>776</v>
      </c>
      <c r="S369" t="s">
        <v>786</v>
      </c>
      <c r="T369">
        <v>198668.140619</v>
      </c>
      <c r="U369" s="2">
        <v>44485</v>
      </c>
      <c r="V369" t="s">
        <v>795</v>
      </c>
    </row>
    <row r="370" spans="1:22">
      <c r="A370" s="1" t="s">
        <v>390</v>
      </c>
      <c r="B370">
        <f>HYPERLINK("https://www.suredividend.com/sure-analysis-SO/","Southern Company")</f>
        <v>0</v>
      </c>
      <c r="C370">
        <v>62.45</v>
      </c>
      <c r="D370">
        <v>55</v>
      </c>
      <c r="E370">
        <v>1.135454545454545</v>
      </c>
      <c r="F370">
        <v>0.04195356285028022</v>
      </c>
      <c r="G370">
        <v>-0.02508657838220907</v>
      </c>
      <c r="H370">
        <v>0.05</v>
      </c>
      <c r="I370">
        <v>0.0624199475098246</v>
      </c>
      <c r="J370" t="s">
        <v>378</v>
      </c>
      <c r="K370" t="s">
        <v>773</v>
      </c>
      <c r="L370">
        <v>3.33</v>
      </c>
      <c r="M370">
        <v>2.62</v>
      </c>
      <c r="N370">
        <v>0.7867867867867868</v>
      </c>
      <c r="O370">
        <v>20</v>
      </c>
      <c r="P370">
        <v>0.03018318869451253</v>
      </c>
      <c r="Q370">
        <v>0.126985345441627</v>
      </c>
      <c r="R370" t="s">
        <v>776</v>
      </c>
      <c r="S370" t="s">
        <v>787</v>
      </c>
      <c r="T370">
        <v>66843.67363799999</v>
      </c>
      <c r="U370" s="2">
        <v>44432</v>
      </c>
      <c r="V370" t="s">
        <v>796</v>
      </c>
    </row>
    <row r="371" spans="1:22">
      <c r="A371" s="1" t="s">
        <v>391</v>
      </c>
      <c r="B371">
        <f>HYPERLINK("https://www.suredividend.com/sure-analysis-PM/","Philip Morris International Inc")</f>
        <v>0</v>
      </c>
      <c r="C371">
        <v>97.45</v>
      </c>
      <c r="D371">
        <v>90</v>
      </c>
      <c r="E371">
        <v>1.082777777777778</v>
      </c>
      <c r="F371">
        <v>0.0513083632632119</v>
      </c>
      <c r="G371">
        <v>-0.01578011952453973</v>
      </c>
      <c r="H371">
        <v>0.03</v>
      </c>
      <c r="I371">
        <v>0.06206803401989536</v>
      </c>
      <c r="J371" t="s">
        <v>378</v>
      </c>
      <c r="K371" t="s">
        <v>773</v>
      </c>
      <c r="L371">
        <v>6</v>
      </c>
      <c r="M371">
        <v>5</v>
      </c>
      <c r="N371">
        <v>0.8333333333333334</v>
      </c>
      <c r="O371">
        <v>14</v>
      </c>
      <c r="P371">
        <v>0.03012896281839894</v>
      </c>
      <c r="Q371">
        <v>0.307230364634482</v>
      </c>
      <c r="R371" t="s">
        <v>776</v>
      </c>
      <c r="S371" t="s">
        <v>785</v>
      </c>
      <c r="T371">
        <v>153313.284395</v>
      </c>
      <c r="U371" s="2">
        <v>44397</v>
      </c>
      <c r="V371" t="s">
        <v>797</v>
      </c>
    </row>
    <row r="372" spans="1:22">
      <c r="A372" s="1" t="s">
        <v>392</v>
      </c>
      <c r="B372">
        <f>HYPERLINK("https://www.suredividend.com/sure-analysis-BUD/","Anheuser-Busch In Bev SA/NV")</f>
        <v>0</v>
      </c>
      <c r="C372">
        <v>55.36</v>
      </c>
      <c r="D372">
        <v>62</v>
      </c>
      <c r="E372">
        <v>0.8929032258064517</v>
      </c>
      <c r="F372">
        <v>0.01029624277456647</v>
      </c>
      <c r="G372">
        <v>0.0229139977317836</v>
      </c>
      <c r="H372">
        <v>0.03</v>
      </c>
      <c r="I372">
        <v>0.06182747805806788</v>
      </c>
      <c r="J372" t="s">
        <v>378</v>
      </c>
      <c r="K372" t="s">
        <v>774</v>
      </c>
      <c r="L372">
        <v>3.08</v>
      </c>
      <c r="M372">
        <v>0.57</v>
      </c>
      <c r="N372">
        <v>0.185064935064935</v>
      </c>
      <c r="O372">
        <v>0</v>
      </c>
      <c r="P372">
        <v>0</v>
      </c>
      <c r="Q372">
        <v>0.006029993486005</v>
      </c>
      <c r="R372" t="s">
        <v>776</v>
      </c>
      <c r="S372" t="s">
        <v>785</v>
      </c>
      <c r="T372">
        <v>111643.888687</v>
      </c>
      <c r="U372" s="2">
        <v>44439</v>
      </c>
      <c r="V372" t="s">
        <v>799</v>
      </c>
    </row>
    <row r="373" spans="1:22">
      <c r="A373" s="1" t="s">
        <v>393</v>
      </c>
      <c r="B373">
        <f>HYPERLINK("https://www.suredividend.com/sure-analysis-RGA/","Reinsurance Group Of America, Inc.")</f>
        <v>0</v>
      </c>
      <c r="C373">
        <v>119.94</v>
      </c>
      <c r="D373">
        <v>105</v>
      </c>
      <c r="E373">
        <v>1.142285714285714</v>
      </c>
      <c r="F373">
        <v>0.02434550608637652</v>
      </c>
      <c r="G373">
        <v>-0.0262554254466405</v>
      </c>
      <c r="H373">
        <v>0.06</v>
      </c>
      <c r="I373">
        <v>0.05873901040337448</v>
      </c>
      <c r="J373" t="s">
        <v>378</v>
      </c>
      <c r="K373" t="s">
        <v>486</v>
      </c>
      <c r="L373">
        <v>9.15</v>
      </c>
      <c r="M373">
        <v>2.92</v>
      </c>
      <c r="N373">
        <v>0.3191256830601092</v>
      </c>
      <c r="O373">
        <v>12</v>
      </c>
      <c r="P373">
        <v>0.08986498009382693</v>
      </c>
      <c r="Q373">
        <v>0.183305131439744</v>
      </c>
      <c r="R373" t="s">
        <v>776</v>
      </c>
      <c r="S373" t="s">
        <v>786</v>
      </c>
      <c r="T373">
        <v>8221.509652999999</v>
      </c>
      <c r="U373" s="2">
        <v>44413</v>
      </c>
      <c r="V373" t="s">
        <v>793</v>
      </c>
    </row>
    <row r="374" spans="1:22">
      <c r="A374" s="1" t="s">
        <v>394</v>
      </c>
      <c r="B374">
        <f>HYPERLINK("https://www.suredividend.com/sure-analysis-O/","Realty Income Corp.")</f>
        <v>0</v>
      </c>
      <c r="C374">
        <v>70.34999999999999</v>
      </c>
      <c r="D374">
        <v>64</v>
      </c>
      <c r="E374">
        <v>1.09921875</v>
      </c>
      <c r="F374">
        <v>0.04022743425728501</v>
      </c>
      <c r="G374">
        <v>-0.0187420814322764</v>
      </c>
      <c r="H374">
        <v>0.04</v>
      </c>
      <c r="I374">
        <v>0.05870255031118088</v>
      </c>
      <c r="J374" t="s">
        <v>378</v>
      </c>
      <c r="K374" t="s">
        <v>773</v>
      </c>
      <c r="L374">
        <v>3.56</v>
      </c>
      <c r="M374">
        <v>2.83</v>
      </c>
      <c r="N374">
        <v>0.7949438202247191</v>
      </c>
      <c r="O374">
        <v>26</v>
      </c>
      <c r="P374">
        <v>0.03492902808124509</v>
      </c>
      <c r="Q374">
        <v>0.202020968933124</v>
      </c>
      <c r="R374" t="s">
        <v>778</v>
      </c>
      <c r="S374" t="s">
        <v>790</v>
      </c>
      <c r="T374">
        <v>27124.788003</v>
      </c>
      <c r="U374" s="2">
        <v>44415</v>
      </c>
      <c r="V374" t="s">
        <v>794</v>
      </c>
    </row>
    <row r="375" spans="1:22">
      <c r="A375" s="1" t="s">
        <v>395</v>
      </c>
      <c r="B375">
        <f>HYPERLINK("https://www.suredividend.com/sure-analysis-CFG/","Citizens Financial Group Inc")</f>
        <v>0</v>
      </c>
      <c r="C375">
        <v>48.38</v>
      </c>
      <c r="D375">
        <v>59</v>
      </c>
      <c r="E375">
        <v>0.8200000000000001</v>
      </c>
      <c r="F375">
        <v>0.03224472922695329</v>
      </c>
      <c r="G375">
        <v>0.04048836820440749</v>
      </c>
      <c r="H375">
        <v>-0.02</v>
      </c>
      <c r="I375">
        <v>0.05689718093544482</v>
      </c>
      <c r="J375" t="s">
        <v>378</v>
      </c>
      <c r="K375" t="s">
        <v>378</v>
      </c>
      <c r="L375">
        <v>5.15</v>
      </c>
      <c r="M375">
        <v>1.56</v>
      </c>
      <c r="N375">
        <v>0.3029126213592233</v>
      </c>
      <c r="O375">
        <v>6</v>
      </c>
      <c r="P375">
        <v>0.09979014724923641</v>
      </c>
      <c r="Q375">
        <v>0.884596393049448</v>
      </c>
      <c r="R375" t="s">
        <v>776</v>
      </c>
      <c r="S375" t="s">
        <v>786</v>
      </c>
      <c r="T375">
        <v>20490.690077</v>
      </c>
      <c r="U375" s="2">
        <v>44398</v>
      </c>
      <c r="V375" t="s">
        <v>795</v>
      </c>
    </row>
    <row r="376" spans="1:22">
      <c r="A376" s="1" t="s">
        <v>396</v>
      </c>
      <c r="B376">
        <f>HYPERLINK("https://www.suredividend.com/sure-analysis-OKE/","Oneok Inc.")</f>
        <v>0</v>
      </c>
      <c r="C376">
        <v>65.19</v>
      </c>
      <c r="D376">
        <v>57</v>
      </c>
      <c r="E376">
        <v>1.143684210526316</v>
      </c>
      <c r="F376">
        <v>0.05737076238686915</v>
      </c>
      <c r="G376">
        <v>-0.02649368084544945</v>
      </c>
      <c r="H376">
        <v>0.03</v>
      </c>
      <c r="I376">
        <v>0.05680765663368947</v>
      </c>
      <c r="J376" t="s">
        <v>378</v>
      </c>
      <c r="K376" t="s">
        <v>772</v>
      </c>
      <c r="L376">
        <v>5.15</v>
      </c>
      <c r="M376">
        <v>3.74</v>
      </c>
      <c r="N376">
        <v>0.7262135922330097</v>
      </c>
      <c r="O376">
        <v>18</v>
      </c>
      <c r="P376">
        <v>0.02003644710053942</v>
      </c>
      <c r="Q376">
        <v>1.464780735952036</v>
      </c>
      <c r="R376" t="s">
        <v>776</v>
      </c>
      <c r="S376" t="s">
        <v>789</v>
      </c>
      <c r="T376">
        <v>29021.43911</v>
      </c>
      <c r="U376" s="2">
        <v>44412</v>
      </c>
      <c r="V376" t="s">
        <v>794</v>
      </c>
    </row>
    <row r="377" spans="1:22">
      <c r="A377" s="1" t="s">
        <v>397</v>
      </c>
      <c r="B377">
        <f>HYPERLINK("https://www.suredividend.com/sure-analysis-PDCO/","Patterson Companies Inc.")</f>
        <v>0</v>
      </c>
      <c r="C377">
        <v>31.8</v>
      </c>
      <c r="D377">
        <v>30</v>
      </c>
      <c r="E377">
        <v>1.06</v>
      </c>
      <c r="F377">
        <v>0.03270440251572327</v>
      </c>
      <c r="G377">
        <v>-0.011586139329545</v>
      </c>
      <c r="H377">
        <v>0.04</v>
      </c>
      <c r="I377">
        <v>0.05570098529623135</v>
      </c>
      <c r="J377" t="s">
        <v>378</v>
      </c>
      <c r="K377" t="s">
        <v>773</v>
      </c>
      <c r="L377">
        <v>2</v>
      </c>
      <c r="M377">
        <v>1.04</v>
      </c>
      <c r="N377">
        <v>0.52</v>
      </c>
      <c r="O377">
        <v>0</v>
      </c>
      <c r="P377">
        <v>0</v>
      </c>
      <c r="Q377">
        <v>0.200077592831616</v>
      </c>
      <c r="R377" t="s">
        <v>776</v>
      </c>
      <c r="S377" t="s">
        <v>781</v>
      </c>
      <c r="T377">
        <v>3130.84874</v>
      </c>
      <c r="U377" s="2">
        <v>44446</v>
      </c>
      <c r="V377" t="s">
        <v>799</v>
      </c>
    </row>
    <row r="378" spans="1:22">
      <c r="A378" s="1" t="s">
        <v>398</v>
      </c>
      <c r="B378">
        <f>HYPERLINK("https://www.suredividend.com/sure-analysis-ITUB/","Itau Unibanco Holding S.A.")</f>
        <v>0</v>
      </c>
      <c r="C378">
        <v>4.48</v>
      </c>
      <c r="D378">
        <v>5</v>
      </c>
      <c r="E378">
        <v>0.8960000000000001</v>
      </c>
      <c r="F378">
        <v>0.02008928571428571</v>
      </c>
      <c r="G378">
        <v>0.02220593475648402</v>
      </c>
      <c r="H378">
        <v>0.015</v>
      </c>
      <c r="I378">
        <v>0.05432305865109366</v>
      </c>
      <c r="J378" t="s">
        <v>378</v>
      </c>
      <c r="K378" t="s">
        <v>486</v>
      </c>
      <c r="L378">
        <v>0.5</v>
      </c>
      <c r="M378">
        <v>0.09</v>
      </c>
      <c r="N378">
        <v>0.18</v>
      </c>
      <c r="O378">
        <v>0</v>
      </c>
      <c r="P378">
        <v>0</v>
      </c>
      <c r="Q378">
        <v>0.128346259694771</v>
      </c>
      <c r="R378" t="s">
        <v>776</v>
      </c>
      <c r="S378" t="s">
        <v>786</v>
      </c>
      <c r="T378">
        <v>21854.7609</v>
      </c>
      <c r="U378" s="2">
        <v>44425</v>
      </c>
      <c r="V378" t="s">
        <v>798</v>
      </c>
    </row>
    <row r="379" spans="1:22">
      <c r="A379" s="1" t="s">
        <v>399</v>
      </c>
      <c r="B379">
        <f>HYPERLINK("https://www.suredividend.com/sure-analysis-WEC/","WEC Energy Group Inc")</f>
        <v>0</v>
      </c>
      <c r="C379">
        <v>88.84</v>
      </c>
      <c r="D379">
        <v>77</v>
      </c>
      <c r="E379">
        <v>1.153766233766234</v>
      </c>
      <c r="F379">
        <v>0.0305042773525439</v>
      </c>
      <c r="G379">
        <v>-0.0282010285760681</v>
      </c>
      <c r="H379">
        <v>0.052</v>
      </c>
      <c r="I379">
        <v>0.05301911289073113</v>
      </c>
      <c r="J379" t="s">
        <v>378</v>
      </c>
      <c r="K379" t="s">
        <v>773</v>
      </c>
      <c r="L379">
        <v>4.04</v>
      </c>
      <c r="M379">
        <v>2.71</v>
      </c>
      <c r="N379">
        <v>0.6707920792079208</v>
      </c>
      <c r="O379">
        <v>18</v>
      </c>
      <c r="P379">
        <v>0.05189218178383381</v>
      </c>
      <c r="Q379">
        <v>-0.087767557461427</v>
      </c>
      <c r="R379" t="s">
        <v>776</v>
      </c>
      <c r="S379" t="s">
        <v>787</v>
      </c>
      <c r="T379">
        <v>28411.188207</v>
      </c>
      <c r="U379" s="2">
        <v>44415</v>
      </c>
      <c r="V379" t="s">
        <v>792</v>
      </c>
    </row>
    <row r="380" spans="1:22">
      <c r="A380" s="1" t="s">
        <v>400</v>
      </c>
      <c r="B380">
        <f>HYPERLINK("https://www.suredividend.com/sure-analysis-GNTX/","Gentex Corp.")</f>
        <v>0</v>
      </c>
      <c r="C380">
        <v>36.66</v>
      </c>
      <c r="D380">
        <v>31</v>
      </c>
      <c r="E380">
        <v>1.18258064516129</v>
      </c>
      <c r="F380">
        <v>0.01309328968903437</v>
      </c>
      <c r="G380">
        <v>-0.03298358412324021</v>
      </c>
      <c r="H380">
        <v>0.075</v>
      </c>
      <c r="I380">
        <v>0.05294893492887098</v>
      </c>
      <c r="J380" t="s">
        <v>378</v>
      </c>
      <c r="K380" t="s">
        <v>486</v>
      </c>
      <c r="L380">
        <v>1.88</v>
      </c>
      <c r="M380">
        <v>0.48</v>
      </c>
      <c r="N380">
        <v>0.2553191489361702</v>
      </c>
      <c r="O380">
        <v>10</v>
      </c>
      <c r="P380">
        <v>0.06897294358221773</v>
      </c>
      <c r="Q380">
        <v>0.370943482057038</v>
      </c>
      <c r="R380" t="s">
        <v>776</v>
      </c>
      <c r="S380" t="s">
        <v>783</v>
      </c>
      <c r="T380">
        <v>8929.713970000001</v>
      </c>
      <c r="U380" s="2">
        <v>44403</v>
      </c>
      <c r="V380" t="s">
        <v>793</v>
      </c>
    </row>
    <row r="381" spans="1:22">
      <c r="A381" s="1" t="s">
        <v>401</v>
      </c>
      <c r="B381">
        <f>HYPERLINK("https://www.suredividend.com/sure-analysis-WY/","Weyerhaeuser Co.")</f>
        <v>0</v>
      </c>
      <c r="C381">
        <v>36.97</v>
      </c>
      <c r="D381">
        <v>62.7</v>
      </c>
      <c r="E381">
        <v>0.5896331738437001</v>
      </c>
      <c r="F381">
        <v>0.01839329185826346</v>
      </c>
      <c r="G381">
        <v>0.1114338460622251</v>
      </c>
      <c r="H381">
        <v>-0.075</v>
      </c>
      <c r="I381">
        <v>0.05234177414063024</v>
      </c>
      <c r="J381" t="s">
        <v>378</v>
      </c>
      <c r="K381" t="s">
        <v>486</v>
      </c>
      <c r="L381">
        <v>3.69</v>
      </c>
      <c r="M381">
        <v>0.68</v>
      </c>
      <c r="N381">
        <v>0.1842818428184282</v>
      </c>
      <c r="O381">
        <v>0</v>
      </c>
      <c r="P381">
        <v>0.1486983549970351</v>
      </c>
      <c r="Q381">
        <v>0.305050236023451</v>
      </c>
      <c r="R381" t="s">
        <v>778</v>
      </c>
      <c r="S381" t="s">
        <v>790</v>
      </c>
      <c r="T381">
        <v>27921.95616</v>
      </c>
      <c r="U381" s="2">
        <v>44420</v>
      </c>
      <c r="V381" t="s">
        <v>800</v>
      </c>
    </row>
    <row r="382" spans="1:22">
      <c r="A382" s="1" t="s">
        <v>402</v>
      </c>
      <c r="B382">
        <f>HYPERLINK("https://www.suredividend.com/sure-analysis-XOM/","Exxon Mobil Corp.")</f>
        <v>0</v>
      </c>
      <c r="C382">
        <v>62.56</v>
      </c>
      <c r="D382">
        <v>47</v>
      </c>
      <c r="E382">
        <v>1.331063829787234</v>
      </c>
      <c r="F382">
        <v>0.05562659846547315</v>
      </c>
      <c r="G382">
        <v>-0.05559076857201739</v>
      </c>
      <c r="H382">
        <v>0.06</v>
      </c>
      <c r="I382">
        <v>0.05212389501814196</v>
      </c>
      <c r="J382" t="s">
        <v>378</v>
      </c>
      <c r="K382" t="s">
        <v>772</v>
      </c>
      <c r="L382">
        <v>3.6</v>
      </c>
      <c r="M382">
        <v>3.48</v>
      </c>
      <c r="N382">
        <v>0.9666666666666667</v>
      </c>
      <c r="O382">
        <v>38</v>
      </c>
      <c r="P382">
        <v>0.006803348678863008</v>
      </c>
      <c r="Q382">
        <v>0.9688952921414051</v>
      </c>
      <c r="R382" t="s">
        <v>776</v>
      </c>
      <c r="S382" t="s">
        <v>789</v>
      </c>
      <c r="T382">
        <v>264978.702975</v>
      </c>
      <c r="U382" s="2">
        <v>44425</v>
      </c>
      <c r="V382" t="s">
        <v>796</v>
      </c>
    </row>
    <row r="383" spans="1:22">
      <c r="A383" s="1" t="s">
        <v>403</v>
      </c>
      <c r="B383">
        <f>HYPERLINK("https://www.suredividend.com/sure-analysis-MGA/","Magna International Inc.")</f>
        <v>0</v>
      </c>
      <c r="C383">
        <v>83.42</v>
      </c>
      <c r="D383">
        <v>69</v>
      </c>
      <c r="E383">
        <v>1.208985507246377</v>
      </c>
      <c r="F383">
        <v>0.02061855670103093</v>
      </c>
      <c r="G383">
        <v>-0.03724500384134277</v>
      </c>
      <c r="H383">
        <v>0.07000000000000001</v>
      </c>
      <c r="I383">
        <v>0.0520635977492645</v>
      </c>
      <c r="J383" t="s">
        <v>378</v>
      </c>
      <c r="K383" t="s">
        <v>486</v>
      </c>
      <c r="L383">
        <v>6.87</v>
      </c>
      <c r="M383">
        <v>1.72</v>
      </c>
      <c r="N383">
        <v>0.2503639010189229</v>
      </c>
      <c r="O383">
        <v>11</v>
      </c>
      <c r="P383">
        <v>0.0750624704770988</v>
      </c>
      <c r="Q383">
        <v>0.646600397310221</v>
      </c>
      <c r="R383" t="s">
        <v>776</v>
      </c>
      <c r="S383" t="s">
        <v>788</v>
      </c>
      <c r="T383">
        <v>25897.773359</v>
      </c>
      <c r="U383" s="2">
        <v>44428</v>
      </c>
      <c r="V383" t="s">
        <v>801</v>
      </c>
    </row>
    <row r="384" spans="1:22">
      <c r="A384" s="1" t="s">
        <v>404</v>
      </c>
      <c r="B384">
        <f>HYPERLINK("https://www.suredividend.com/sure-analysis-PNC/","PNC Financial Services Group")</f>
        <v>0</v>
      </c>
      <c r="C384">
        <v>200.84</v>
      </c>
      <c r="D384">
        <v>180</v>
      </c>
      <c r="E384">
        <v>1.115777777777778</v>
      </c>
      <c r="F384">
        <v>0.0248954391555467</v>
      </c>
      <c r="G384">
        <v>-0.02167205596457544</v>
      </c>
      <c r="H384">
        <v>0.05</v>
      </c>
      <c r="I384">
        <v>0.05201110278641186</v>
      </c>
      <c r="J384" t="s">
        <v>378</v>
      </c>
      <c r="K384" t="s">
        <v>486</v>
      </c>
      <c r="L384">
        <v>14.3</v>
      </c>
      <c r="M384">
        <v>5</v>
      </c>
      <c r="N384">
        <v>0.3496503496503496</v>
      </c>
      <c r="O384">
        <v>11</v>
      </c>
      <c r="P384">
        <v>0.05061112176150684</v>
      </c>
      <c r="Q384">
        <v>0.834121306405009</v>
      </c>
      <c r="R384" t="s">
        <v>776</v>
      </c>
      <c r="S384" t="s">
        <v>786</v>
      </c>
      <c r="T384">
        <v>84602.043036</v>
      </c>
      <c r="U384" s="2">
        <v>44393</v>
      </c>
      <c r="V384" t="s">
        <v>796</v>
      </c>
    </row>
    <row r="385" spans="1:22">
      <c r="A385" s="1" t="s">
        <v>405</v>
      </c>
      <c r="B385">
        <f>HYPERLINK("https://www.suredividend.com/sure-analysis-BK/","Bank Of New York Mellon Corp")</f>
        <v>0</v>
      </c>
      <c r="C385">
        <v>57.41</v>
      </c>
      <c r="D385">
        <v>49</v>
      </c>
      <c r="E385">
        <v>1.171632653061224</v>
      </c>
      <c r="F385">
        <v>0.02368925274342449</v>
      </c>
      <c r="G385">
        <v>-0.03118309862362234</v>
      </c>
      <c r="H385">
        <v>0.06</v>
      </c>
      <c r="I385">
        <v>0.05122438454706235</v>
      </c>
      <c r="J385" t="s">
        <v>378</v>
      </c>
      <c r="K385" t="s">
        <v>486</v>
      </c>
      <c r="L385">
        <v>4.05</v>
      </c>
      <c r="M385">
        <v>1.36</v>
      </c>
      <c r="N385">
        <v>0.3358024691358025</v>
      </c>
      <c r="O385">
        <v>11</v>
      </c>
      <c r="P385">
        <v>0.06000153927394081</v>
      </c>
      <c r="Q385">
        <v>0.5483004179544331</v>
      </c>
      <c r="R385" t="s">
        <v>776</v>
      </c>
      <c r="S385" t="s">
        <v>786</v>
      </c>
      <c r="T385">
        <v>49339.007434</v>
      </c>
      <c r="U385" s="2">
        <v>44395</v>
      </c>
      <c r="V385" t="s">
        <v>795</v>
      </c>
    </row>
    <row r="386" spans="1:22">
      <c r="A386" s="1" t="s">
        <v>406</v>
      </c>
      <c r="B386">
        <f>HYPERLINK("https://www.suredividend.com/sure-analysis-OSK/","Oshkosh Corp")</f>
        <v>0</v>
      </c>
      <c r="C386">
        <v>101.21</v>
      </c>
      <c r="D386">
        <v>90</v>
      </c>
      <c r="E386">
        <v>1.124555555555556</v>
      </c>
      <c r="F386">
        <v>0.01304218950696572</v>
      </c>
      <c r="G386">
        <v>-0.02320412500642444</v>
      </c>
      <c r="H386">
        <v>0.06</v>
      </c>
      <c r="I386">
        <v>0.04984206677093117</v>
      </c>
      <c r="J386" t="s">
        <v>378</v>
      </c>
      <c r="K386" t="s">
        <v>486</v>
      </c>
      <c r="L386">
        <v>6.45</v>
      </c>
      <c r="M386">
        <v>1.32</v>
      </c>
      <c r="N386">
        <v>0.2046511627906977</v>
      </c>
      <c r="O386">
        <v>8</v>
      </c>
      <c r="P386">
        <v>0.09096607850144967</v>
      </c>
      <c r="Q386">
        <v>0.286762146460011</v>
      </c>
      <c r="R386" t="s">
        <v>776</v>
      </c>
      <c r="S386" t="s">
        <v>783</v>
      </c>
      <c r="T386">
        <v>6977.520816</v>
      </c>
      <c r="U386" s="2">
        <v>44411</v>
      </c>
      <c r="V386" t="s">
        <v>797</v>
      </c>
    </row>
    <row r="387" spans="1:22">
      <c r="A387" s="1" t="s">
        <v>407</v>
      </c>
      <c r="B387">
        <f>HYPERLINK("https://www.suredividend.com/sure-analysis-JPM/","JPMorgan Chase &amp; Co.")</f>
        <v>0</v>
      </c>
      <c r="C387">
        <v>166.55</v>
      </c>
      <c r="D387">
        <v>188</v>
      </c>
      <c r="E387">
        <v>0.885904255319149</v>
      </c>
      <c r="F387">
        <v>0.02401681176823776</v>
      </c>
      <c r="G387">
        <v>0.02452519372906248</v>
      </c>
      <c r="H387">
        <v>0</v>
      </c>
      <c r="I387">
        <v>0.04977485753497413</v>
      </c>
      <c r="J387" t="s">
        <v>378</v>
      </c>
      <c r="K387" t="s">
        <v>486</v>
      </c>
      <c r="L387">
        <v>15</v>
      </c>
      <c r="M387">
        <v>4</v>
      </c>
      <c r="N387">
        <v>0.2666666666666667</v>
      </c>
      <c r="O387">
        <v>11</v>
      </c>
      <c r="P387">
        <v>0.06615002518126989</v>
      </c>
      <c r="Q387">
        <v>0.6825333027681361</v>
      </c>
      <c r="R387" t="s">
        <v>776</v>
      </c>
      <c r="S387" t="s">
        <v>786</v>
      </c>
      <c r="T387">
        <v>497856.563697</v>
      </c>
      <c r="U387" s="2">
        <v>44485</v>
      </c>
      <c r="V387" t="s">
        <v>795</v>
      </c>
    </row>
    <row r="388" spans="1:22">
      <c r="A388" s="1" t="s">
        <v>408</v>
      </c>
      <c r="B388">
        <f>HYPERLINK("https://www.suredividend.com/sure-analysis-AON/","Aon plc.")</f>
        <v>0</v>
      </c>
      <c r="C388">
        <v>305.89</v>
      </c>
      <c r="D388">
        <v>233</v>
      </c>
      <c r="E388">
        <v>1.312832618025751</v>
      </c>
      <c r="F388">
        <v>0.006669064042629704</v>
      </c>
      <c r="G388">
        <v>-0.05298222988109869</v>
      </c>
      <c r="H388">
        <v>0.1</v>
      </c>
      <c r="I388">
        <v>0.0494377295073285</v>
      </c>
      <c r="J388" t="s">
        <v>378</v>
      </c>
      <c r="K388" t="s">
        <v>774</v>
      </c>
      <c r="L388">
        <v>11.65</v>
      </c>
      <c r="M388">
        <v>2.04</v>
      </c>
      <c r="N388">
        <v>0.1751072961373391</v>
      </c>
      <c r="O388">
        <v>10</v>
      </c>
      <c r="P388">
        <v>0.1101602038533911</v>
      </c>
      <c r="Q388">
        <v>0.4657211746241151</v>
      </c>
      <c r="R388" t="s">
        <v>776</v>
      </c>
      <c r="S388" t="s">
        <v>786</v>
      </c>
      <c r="T388">
        <v>69823.592567</v>
      </c>
      <c r="U388" s="2">
        <v>44421</v>
      </c>
      <c r="V388" t="s">
        <v>795</v>
      </c>
    </row>
    <row r="389" spans="1:22">
      <c r="A389" s="1" t="s">
        <v>409</v>
      </c>
      <c r="B389">
        <f>HYPERLINK("https://www.suredividend.com/sure-analysis-KEY/","Keycorp")</f>
        <v>0</v>
      </c>
      <c r="C389">
        <v>23.04</v>
      </c>
      <c r="D389">
        <v>25</v>
      </c>
      <c r="E389">
        <v>0.9216</v>
      </c>
      <c r="F389">
        <v>0.03211805555555556</v>
      </c>
      <c r="G389">
        <v>0.01646284122244546</v>
      </c>
      <c r="H389">
        <v>0</v>
      </c>
      <c r="I389">
        <v>0.04910832120819664</v>
      </c>
      <c r="J389" t="s">
        <v>378</v>
      </c>
      <c r="K389" t="s">
        <v>378</v>
      </c>
      <c r="L389">
        <v>2.3</v>
      </c>
      <c r="M389">
        <v>0.74</v>
      </c>
      <c r="N389">
        <v>0.3217391304347826</v>
      </c>
      <c r="O389">
        <v>10</v>
      </c>
      <c r="P389">
        <v>0.04900903024942593</v>
      </c>
      <c r="Q389">
        <v>0.848387278085128</v>
      </c>
      <c r="R389" t="s">
        <v>776</v>
      </c>
      <c r="S389" t="s">
        <v>786</v>
      </c>
      <c r="T389">
        <v>22015.639748</v>
      </c>
      <c r="U389" s="2">
        <v>44397</v>
      </c>
      <c r="V389" t="s">
        <v>797</v>
      </c>
    </row>
    <row r="390" spans="1:22">
      <c r="A390" s="1" t="s">
        <v>410</v>
      </c>
      <c r="B390">
        <f>HYPERLINK("https://www.suredividend.com/sure-analysis-CVX/","Chevron Corp.")</f>
        <v>0</v>
      </c>
      <c r="C390">
        <v>109.56</v>
      </c>
      <c r="D390">
        <v>76</v>
      </c>
      <c r="E390">
        <v>1.441578947368421</v>
      </c>
      <c r="F390">
        <v>0.04846659364731654</v>
      </c>
      <c r="G390">
        <v>-0.07053655558764338</v>
      </c>
      <c r="H390">
        <v>0.08</v>
      </c>
      <c r="I390">
        <v>0.04842867615177338</v>
      </c>
      <c r="J390" t="s">
        <v>378</v>
      </c>
      <c r="K390" t="s">
        <v>773</v>
      </c>
      <c r="L390">
        <v>5.4</v>
      </c>
      <c r="M390">
        <v>5.31</v>
      </c>
      <c r="N390">
        <v>0.9833333333333332</v>
      </c>
      <c r="O390">
        <v>34</v>
      </c>
      <c r="P390">
        <v>0.00705602868275168</v>
      </c>
      <c r="Q390">
        <v>0.565403175936121</v>
      </c>
      <c r="R390" t="s">
        <v>776</v>
      </c>
      <c r="S390" t="s">
        <v>789</v>
      </c>
      <c r="T390">
        <v>211976.088182</v>
      </c>
      <c r="U390" s="2">
        <v>44425</v>
      </c>
      <c r="V390" t="s">
        <v>796</v>
      </c>
    </row>
    <row r="391" spans="1:22">
      <c r="A391" s="1" t="s">
        <v>411</v>
      </c>
      <c r="B391">
        <f>HYPERLINK("https://www.suredividend.com/sure-analysis-VIAC/","ViacomCBS Inc")</f>
        <v>0</v>
      </c>
      <c r="C391">
        <v>38.53</v>
      </c>
      <c r="D391">
        <v>39</v>
      </c>
      <c r="E391">
        <v>0.987948717948718</v>
      </c>
      <c r="F391">
        <v>0.02491565014274591</v>
      </c>
      <c r="G391">
        <v>0.002427839940147392</v>
      </c>
      <c r="H391">
        <v>0.02</v>
      </c>
      <c r="I391">
        <v>0.04771514357251294</v>
      </c>
      <c r="J391" t="s">
        <v>378</v>
      </c>
      <c r="K391" t="s">
        <v>486</v>
      </c>
      <c r="L391">
        <v>3.93</v>
      </c>
      <c r="M391">
        <v>0.96</v>
      </c>
      <c r="N391">
        <v>0.2442748091603053</v>
      </c>
      <c r="O391">
        <v>1</v>
      </c>
      <c r="P391">
        <v>0.05081623913789235</v>
      </c>
      <c r="Q391">
        <v>0.422826643269722</v>
      </c>
      <c r="R391" t="s">
        <v>776</v>
      </c>
      <c r="S391" t="s">
        <v>780</v>
      </c>
      <c r="T391">
        <v>25272.507966</v>
      </c>
      <c r="U391" s="2">
        <v>44443</v>
      </c>
      <c r="V391" t="s">
        <v>798</v>
      </c>
    </row>
    <row r="392" spans="1:22">
      <c r="A392" s="1" t="s">
        <v>412</v>
      </c>
      <c r="B392">
        <f>HYPERLINK("https://www.suredividend.com/sure-analysis-MA/","Mastercard Incorporated")</f>
        <v>0</v>
      </c>
      <c r="C392">
        <v>358.44</v>
      </c>
      <c r="D392">
        <v>217</v>
      </c>
      <c r="E392">
        <v>1.651797235023041</v>
      </c>
      <c r="F392">
        <v>0.004910166276085258</v>
      </c>
      <c r="G392">
        <v>-0.09549982954544356</v>
      </c>
      <c r="H392">
        <v>0.15</v>
      </c>
      <c r="I392">
        <v>0.0465998167214885</v>
      </c>
      <c r="J392" t="s">
        <v>378</v>
      </c>
      <c r="K392" t="s">
        <v>774</v>
      </c>
      <c r="L392">
        <v>8.039999999999999</v>
      </c>
      <c r="M392">
        <v>1.76</v>
      </c>
      <c r="N392">
        <v>0.218905472636816</v>
      </c>
      <c r="O392">
        <v>10</v>
      </c>
      <c r="P392">
        <v>0.1500007374307972</v>
      </c>
      <c r="Q392">
        <v>0.05281462300364401</v>
      </c>
      <c r="R392" t="s">
        <v>776</v>
      </c>
      <c r="S392" t="s">
        <v>786</v>
      </c>
      <c r="T392">
        <v>348463.059208</v>
      </c>
      <c r="U392" s="2">
        <v>44407</v>
      </c>
      <c r="V392" t="s">
        <v>792</v>
      </c>
    </row>
    <row r="393" spans="1:22">
      <c r="A393" s="1" t="s">
        <v>413</v>
      </c>
      <c r="B393">
        <f>HYPERLINK("https://www.suredividend.com/sure-analysis-WPC/","W. P. Carey Inc")</f>
        <v>0</v>
      </c>
      <c r="C393">
        <v>76.95999999999999</v>
      </c>
      <c r="D393">
        <v>62</v>
      </c>
      <c r="E393">
        <v>1.241290322580645</v>
      </c>
      <c r="F393">
        <v>0.05470374220374221</v>
      </c>
      <c r="G393">
        <v>-0.04230917645347032</v>
      </c>
      <c r="H393">
        <v>0.035</v>
      </c>
      <c r="I393">
        <v>0.0451805874398945</v>
      </c>
      <c r="J393" t="s">
        <v>378</v>
      </c>
      <c r="K393" t="s">
        <v>772</v>
      </c>
      <c r="L393">
        <v>4.98</v>
      </c>
      <c r="M393">
        <v>4.21</v>
      </c>
      <c r="N393">
        <v>0.8453815261044176</v>
      </c>
      <c r="O393">
        <v>23</v>
      </c>
      <c r="P393">
        <v>0.02007985595231565</v>
      </c>
      <c r="Q393">
        <v>0.225422706371274</v>
      </c>
      <c r="R393" t="s">
        <v>778</v>
      </c>
      <c r="S393" t="s">
        <v>790</v>
      </c>
      <c r="T393">
        <v>14187.133616</v>
      </c>
      <c r="U393" s="2">
        <v>44440</v>
      </c>
      <c r="V393" t="s">
        <v>794</v>
      </c>
    </row>
    <row r="394" spans="1:22">
      <c r="A394" s="1" t="s">
        <v>414</v>
      </c>
      <c r="B394">
        <f>HYPERLINK("https://www.suredividend.com/sure-analysis-FCX/","Freeport-McMoRan Inc")</f>
        <v>0</v>
      </c>
      <c r="C394">
        <v>38.54</v>
      </c>
      <c r="D394">
        <v>38</v>
      </c>
      <c r="E394">
        <v>1.014210526315789</v>
      </c>
      <c r="F394">
        <v>0.007784120394395433</v>
      </c>
      <c r="G394">
        <v>-0.002818122269267476</v>
      </c>
      <c r="H394">
        <v>0.04</v>
      </c>
      <c r="I394">
        <v>0.0449715718160677</v>
      </c>
      <c r="J394" t="s">
        <v>378</v>
      </c>
      <c r="K394" t="s">
        <v>774</v>
      </c>
      <c r="L394">
        <v>2.9</v>
      </c>
      <c r="M394">
        <v>0.3</v>
      </c>
      <c r="N394">
        <v>0.103448275862069</v>
      </c>
      <c r="O394">
        <v>0</v>
      </c>
      <c r="P394">
        <v>0.05922384104881218</v>
      </c>
      <c r="Q394">
        <v>1.267579019025598</v>
      </c>
      <c r="R394" t="s">
        <v>776</v>
      </c>
      <c r="S394" t="s">
        <v>782</v>
      </c>
      <c r="T394">
        <v>56726.007759</v>
      </c>
      <c r="U394" s="2">
        <v>44401</v>
      </c>
      <c r="V394" t="s">
        <v>795</v>
      </c>
    </row>
    <row r="395" spans="1:22">
      <c r="A395" s="1" t="s">
        <v>415</v>
      </c>
      <c r="B395">
        <f>HYPERLINK("https://www.suredividend.com/sure-analysis-CUBE/","CubeSmart")</f>
        <v>0</v>
      </c>
      <c r="C395">
        <v>52.6</v>
      </c>
      <c r="D395">
        <v>40</v>
      </c>
      <c r="E395">
        <v>1.315</v>
      </c>
      <c r="F395">
        <v>0.02585551330798479</v>
      </c>
      <c r="G395">
        <v>-0.0532946106853619</v>
      </c>
      <c r="H395">
        <v>0.075</v>
      </c>
      <c r="I395">
        <v>0.04429308916180652</v>
      </c>
      <c r="J395" t="s">
        <v>378</v>
      </c>
      <c r="K395" t="s">
        <v>378</v>
      </c>
      <c r="L395">
        <v>2.01</v>
      </c>
      <c r="M395">
        <v>1.36</v>
      </c>
      <c r="N395">
        <v>0.6766169154228857</v>
      </c>
      <c r="O395">
        <v>11</v>
      </c>
      <c r="P395">
        <v>0.0505145404837426</v>
      </c>
      <c r="Q395">
        <v>0.571065852084602</v>
      </c>
      <c r="R395" t="s">
        <v>778</v>
      </c>
      <c r="S395" t="s">
        <v>790</v>
      </c>
      <c r="T395">
        <v>10512.222575</v>
      </c>
      <c r="U395" s="2">
        <v>44408</v>
      </c>
      <c r="V395" t="s">
        <v>791</v>
      </c>
    </row>
    <row r="396" spans="1:22">
      <c r="A396" s="1" t="s">
        <v>416</v>
      </c>
      <c r="B396">
        <f>HYPERLINK("https://www.suredividend.com/sure-analysis-ASML/","ASML Holding NV")</f>
        <v>0</v>
      </c>
      <c r="C396">
        <v>788.22</v>
      </c>
      <c r="D396">
        <v>539</v>
      </c>
      <c r="E396">
        <v>1.462374768089054</v>
      </c>
      <c r="F396">
        <v>0.00474486818400954</v>
      </c>
      <c r="G396">
        <v>-0.07319522431350645</v>
      </c>
      <c r="H396">
        <v>0.12</v>
      </c>
      <c r="I396">
        <v>0.04428183224478288</v>
      </c>
      <c r="J396" t="s">
        <v>378</v>
      </c>
      <c r="K396" t="s">
        <v>774</v>
      </c>
      <c r="L396">
        <v>15.4</v>
      </c>
      <c r="M396">
        <v>3.74</v>
      </c>
      <c r="N396">
        <v>0.2428571428571429</v>
      </c>
      <c r="O396">
        <v>6</v>
      </c>
      <c r="P396">
        <v>0.1499242898639823</v>
      </c>
      <c r="Q396">
        <v>1.054292766646238</v>
      </c>
      <c r="R396" t="s">
        <v>776</v>
      </c>
      <c r="S396" t="s">
        <v>784</v>
      </c>
      <c r="T396">
        <v>326282.064165</v>
      </c>
      <c r="U396" s="2">
        <v>44399</v>
      </c>
      <c r="V396" t="s">
        <v>795</v>
      </c>
    </row>
    <row r="397" spans="1:22">
      <c r="A397" s="1" t="s">
        <v>417</v>
      </c>
      <c r="B397">
        <f>HYPERLINK("https://www.suredividend.com/sure-analysis-R/","Ryder System, Inc.")</f>
        <v>0</v>
      </c>
      <c r="C397">
        <v>85.04000000000001</v>
      </c>
      <c r="D397">
        <v>88</v>
      </c>
      <c r="E397">
        <v>0.9663636363636364</v>
      </c>
      <c r="F397">
        <v>0.02728127939793038</v>
      </c>
      <c r="G397">
        <v>0.006866483021159109</v>
      </c>
      <c r="H397">
        <v>0.01</v>
      </c>
      <c r="I397">
        <v>0.04196731956570288</v>
      </c>
      <c r="J397" t="s">
        <v>378</v>
      </c>
      <c r="K397" t="s">
        <v>378</v>
      </c>
      <c r="L397">
        <v>7.35</v>
      </c>
      <c r="M397">
        <v>2.32</v>
      </c>
      <c r="N397">
        <v>0.3156462585034013</v>
      </c>
      <c r="O397">
        <v>17</v>
      </c>
      <c r="P397">
        <v>0.01013720758985226</v>
      </c>
      <c r="Q397">
        <v>0.7262595511106801</v>
      </c>
      <c r="R397" t="s">
        <v>776</v>
      </c>
      <c r="S397" t="s">
        <v>783</v>
      </c>
      <c r="T397">
        <v>4503.538916</v>
      </c>
      <c r="U397" s="2">
        <v>44409</v>
      </c>
      <c r="V397" t="s">
        <v>797</v>
      </c>
    </row>
    <row r="398" spans="1:22">
      <c r="A398" s="1" t="s">
        <v>418</v>
      </c>
      <c r="B398">
        <f>HYPERLINK("https://www.suredividend.com/sure-analysis-AGM/","Federal Agricultural Mortgage Corp.")</f>
        <v>0</v>
      </c>
      <c r="C398">
        <v>118.27</v>
      </c>
      <c r="D398">
        <v>88</v>
      </c>
      <c r="E398">
        <v>1.343977272727273</v>
      </c>
      <c r="F398">
        <v>0.02976240804937854</v>
      </c>
      <c r="G398">
        <v>-0.05741263251278761</v>
      </c>
      <c r="H398">
        <v>0.065</v>
      </c>
      <c r="I398">
        <v>0.03850832802816795</v>
      </c>
      <c r="J398" t="s">
        <v>378</v>
      </c>
      <c r="K398" t="s">
        <v>378</v>
      </c>
      <c r="L398">
        <v>10.39</v>
      </c>
      <c r="M398">
        <v>3.52</v>
      </c>
      <c r="N398">
        <v>0.3387872954764196</v>
      </c>
      <c r="O398">
        <v>10</v>
      </c>
      <c r="P398">
        <v>0.0799150058822331</v>
      </c>
      <c r="Q398">
        <v>0.767551290417207</v>
      </c>
      <c r="R398" t="s">
        <v>776</v>
      </c>
      <c r="S398" t="s">
        <v>786</v>
      </c>
      <c r="T398">
        <v>1201.012397</v>
      </c>
      <c r="U398" s="2">
        <v>44417</v>
      </c>
      <c r="V398" t="s">
        <v>793</v>
      </c>
    </row>
    <row r="399" spans="1:22">
      <c r="A399" s="1" t="s">
        <v>419</v>
      </c>
      <c r="B399">
        <f>HYPERLINK("https://www.suredividend.com/sure-analysis-GOLD/","Barrick Gold Corp.")</f>
        <v>0</v>
      </c>
      <c r="C399">
        <v>19.07</v>
      </c>
      <c r="D399">
        <v>23</v>
      </c>
      <c r="E399">
        <v>0.8291304347826087</v>
      </c>
      <c r="F399">
        <v>0.01887781856318825</v>
      </c>
      <c r="G399">
        <v>0.03818662272591777</v>
      </c>
      <c r="H399">
        <v>-0.02</v>
      </c>
      <c r="I399">
        <v>0.03659069218776856</v>
      </c>
      <c r="J399" t="s">
        <v>378</v>
      </c>
      <c r="K399" t="s">
        <v>486</v>
      </c>
      <c r="L399">
        <v>1.25</v>
      </c>
      <c r="M399">
        <v>0.36</v>
      </c>
      <c r="N399">
        <v>0.288</v>
      </c>
      <c r="O399">
        <v>5</v>
      </c>
      <c r="P399">
        <v>0.04095039696925684</v>
      </c>
      <c r="Q399">
        <v>-0.295468607289119</v>
      </c>
      <c r="R399" t="s">
        <v>776</v>
      </c>
      <c r="S399" t="s">
        <v>782</v>
      </c>
      <c r="T399">
        <v>34020.842408</v>
      </c>
      <c r="U399" s="2">
        <v>44428</v>
      </c>
      <c r="V399" t="s">
        <v>795</v>
      </c>
    </row>
    <row r="400" spans="1:22">
      <c r="A400" s="1" t="s">
        <v>420</v>
      </c>
      <c r="B400">
        <f>HYPERLINK("https://www.suredividend.com/sure-analysis-PSB/","PS Business Parks, Inc.")</f>
        <v>0</v>
      </c>
      <c r="C400">
        <v>171.72</v>
      </c>
      <c r="D400">
        <v>144</v>
      </c>
      <c r="E400">
        <v>1.1925</v>
      </c>
      <c r="F400">
        <v>0.02445842068483578</v>
      </c>
      <c r="G400">
        <v>-0.03459771489581154</v>
      </c>
      <c r="H400">
        <v>0.045</v>
      </c>
      <c r="I400">
        <v>0.03560372356505215</v>
      </c>
      <c r="J400" t="s">
        <v>378</v>
      </c>
      <c r="K400" t="s">
        <v>378</v>
      </c>
      <c r="L400">
        <v>6.86</v>
      </c>
      <c r="M400">
        <v>4.2</v>
      </c>
      <c r="N400">
        <v>0.6122448979591837</v>
      </c>
      <c r="O400">
        <v>0</v>
      </c>
      <c r="P400">
        <v>0.05997935097636264</v>
      </c>
      <c r="Q400">
        <v>0.49410324829498</v>
      </c>
      <c r="R400" t="s">
        <v>778</v>
      </c>
      <c r="S400" t="s">
        <v>790</v>
      </c>
      <c r="T400">
        <v>4757.70216</v>
      </c>
      <c r="U400" s="2">
        <v>44416</v>
      </c>
      <c r="V400" t="s">
        <v>791</v>
      </c>
    </row>
    <row r="401" spans="1:22">
      <c r="A401" s="1" t="s">
        <v>421</v>
      </c>
      <c r="B401">
        <f>HYPERLINK("https://www.suredividend.com/sure-analysis-DUK/","Duke Energy Corp.")</f>
        <v>0</v>
      </c>
      <c r="C401">
        <v>99.86</v>
      </c>
      <c r="D401">
        <v>78</v>
      </c>
      <c r="E401">
        <v>1.28025641025641</v>
      </c>
      <c r="F401">
        <v>0.03945523733226517</v>
      </c>
      <c r="G401">
        <v>-0.04821116015263294</v>
      </c>
      <c r="H401">
        <v>0.044</v>
      </c>
      <c r="I401">
        <v>0.03410113893997502</v>
      </c>
      <c r="J401" t="s">
        <v>378</v>
      </c>
      <c r="K401" t="s">
        <v>773</v>
      </c>
      <c r="L401">
        <v>5.19</v>
      </c>
      <c r="M401">
        <v>3.94</v>
      </c>
      <c r="N401">
        <v>0.7591522157996146</v>
      </c>
      <c r="O401">
        <v>10</v>
      </c>
      <c r="P401">
        <v>0.02693571566003095</v>
      </c>
      <c r="Q401">
        <v>0.129749507458485</v>
      </c>
      <c r="R401" t="s">
        <v>776</v>
      </c>
      <c r="S401" t="s">
        <v>787</v>
      </c>
      <c r="T401">
        <v>77203.027959</v>
      </c>
      <c r="U401" s="2">
        <v>44421</v>
      </c>
      <c r="V401" t="s">
        <v>800</v>
      </c>
    </row>
    <row r="402" spans="1:22">
      <c r="A402" s="1" t="s">
        <v>422</v>
      </c>
      <c r="B402">
        <f>HYPERLINK("https://www.suredividend.com/sure-analysis-PEG/","Public Service Enterprise Group Inc.")</f>
        <v>0</v>
      </c>
      <c r="C402">
        <v>61.73</v>
      </c>
      <c r="D402">
        <v>53</v>
      </c>
      <c r="E402">
        <v>1.164716981132075</v>
      </c>
      <c r="F402">
        <v>0.03304714077433987</v>
      </c>
      <c r="G402">
        <v>-0.03003532393024588</v>
      </c>
      <c r="H402">
        <v>0.03</v>
      </c>
      <c r="I402">
        <v>0.03390020605220756</v>
      </c>
      <c r="J402" t="s">
        <v>378</v>
      </c>
      <c r="K402" t="s">
        <v>773</v>
      </c>
      <c r="L402">
        <v>3.51</v>
      </c>
      <c r="M402">
        <v>2.04</v>
      </c>
      <c r="N402">
        <v>0.5811965811965812</v>
      </c>
      <c r="O402">
        <v>9</v>
      </c>
      <c r="P402">
        <v>0.0398346919425614</v>
      </c>
      <c r="Q402">
        <v>0.07143103579142</v>
      </c>
      <c r="R402" t="s">
        <v>776</v>
      </c>
      <c r="S402" t="s">
        <v>787</v>
      </c>
      <c r="T402">
        <v>31401.391942</v>
      </c>
      <c r="U402" s="2">
        <v>44423</v>
      </c>
      <c r="V402" t="s">
        <v>798</v>
      </c>
    </row>
    <row r="403" spans="1:22">
      <c r="A403" s="1" t="s">
        <v>423</v>
      </c>
      <c r="B403">
        <f>HYPERLINK("https://www.suredividend.com/sure-analysis-HOG/","Harley-Davidson, Inc.")</f>
        <v>0</v>
      </c>
      <c r="C403">
        <v>37.5</v>
      </c>
      <c r="D403">
        <v>46</v>
      </c>
      <c r="E403">
        <v>0.8152173913043478</v>
      </c>
      <c r="F403">
        <v>0.016</v>
      </c>
      <c r="G403">
        <v>0.04170635302920389</v>
      </c>
      <c r="H403">
        <v>-0.033</v>
      </c>
      <c r="I403">
        <v>0.03374807123064305</v>
      </c>
      <c r="J403" t="s">
        <v>378</v>
      </c>
      <c r="K403" t="s">
        <v>486</v>
      </c>
      <c r="L403">
        <v>3.54</v>
      </c>
      <c r="M403">
        <v>0.6</v>
      </c>
      <c r="N403">
        <v>0.1694915254237288</v>
      </c>
      <c r="O403">
        <v>0</v>
      </c>
      <c r="P403">
        <v>0.2011244339814313</v>
      </c>
      <c r="Q403">
        <v>0.321550014168319</v>
      </c>
      <c r="R403" t="s">
        <v>776</v>
      </c>
      <c r="S403" t="s">
        <v>788</v>
      </c>
      <c r="T403">
        <v>5739.993999</v>
      </c>
      <c r="U403" s="2">
        <v>44415</v>
      </c>
      <c r="V403" t="s">
        <v>800</v>
      </c>
    </row>
    <row r="404" spans="1:22">
      <c r="A404" s="1" t="s">
        <v>424</v>
      </c>
      <c r="B404">
        <f>HYPERLINK("https://www.suredividend.com/sure-analysis-STZ/","Constellation Brands Inc")</f>
        <v>0</v>
      </c>
      <c r="C404">
        <v>215.6</v>
      </c>
      <c r="D404">
        <v>185</v>
      </c>
      <c r="E404">
        <v>1.165405405405405</v>
      </c>
      <c r="F404">
        <v>0.01410018552875696</v>
      </c>
      <c r="G404">
        <v>-0.03014994585663555</v>
      </c>
      <c r="H404">
        <v>0.05</v>
      </c>
      <c r="I404">
        <v>0.03312180142003984</v>
      </c>
      <c r="J404" t="s">
        <v>378</v>
      </c>
      <c r="K404" t="s">
        <v>774</v>
      </c>
      <c r="L404">
        <v>10.3</v>
      </c>
      <c r="M404">
        <v>3.04</v>
      </c>
      <c r="N404">
        <v>0.2951456310679612</v>
      </c>
      <c r="O404">
        <v>6</v>
      </c>
      <c r="P404">
        <v>0.05000563166277994</v>
      </c>
      <c r="Q404">
        <v>0.223599287579642</v>
      </c>
      <c r="R404" t="s">
        <v>776</v>
      </c>
      <c r="S404" t="s">
        <v>785</v>
      </c>
      <c r="T404">
        <v>41074.380499</v>
      </c>
      <c r="U404" s="2">
        <v>44475</v>
      </c>
      <c r="V404" t="s">
        <v>797</v>
      </c>
    </row>
    <row r="405" spans="1:22">
      <c r="A405" s="1" t="s">
        <v>425</v>
      </c>
      <c r="B405">
        <f>HYPERLINK("https://www.suredividend.com/sure-analysis-KLIC/","Kulicke &amp; Soffa Industries, Inc.")</f>
        <v>0</v>
      </c>
      <c r="C405">
        <v>50.04</v>
      </c>
      <c r="D405">
        <v>48</v>
      </c>
      <c r="E405">
        <v>1.0425</v>
      </c>
      <c r="F405">
        <v>0.01119104716227018</v>
      </c>
      <c r="G405">
        <v>-0.008289783600853085</v>
      </c>
      <c r="H405">
        <v>0.03</v>
      </c>
      <c r="I405">
        <v>0.03216641272561849</v>
      </c>
      <c r="J405" t="s">
        <v>378</v>
      </c>
      <c r="K405" t="s">
        <v>486</v>
      </c>
      <c r="L405">
        <v>6.01</v>
      </c>
      <c r="M405">
        <v>0.5600000000000001</v>
      </c>
      <c r="N405">
        <v>0.09317803660565725</v>
      </c>
      <c r="O405">
        <v>1</v>
      </c>
      <c r="P405">
        <v>0.02056514630321193</v>
      </c>
      <c r="Q405">
        <v>0.8544274455261941</v>
      </c>
      <c r="R405" t="s">
        <v>776</v>
      </c>
      <c r="S405" t="s">
        <v>784</v>
      </c>
      <c r="T405">
        <v>3048.850643</v>
      </c>
      <c r="U405" s="2">
        <v>44419</v>
      </c>
      <c r="V405" t="s">
        <v>792</v>
      </c>
    </row>
    <row r="406" spans="1:22">
      <c r="A406" s="1" t="s">
        <v>426</v>
      </c>
      <c r="B406">
        <f>HYPERLINK("https://www.suredividend.com/sure-analysis-NNN/","National Retail Properties Inc")</f>
        <v>0</v>
      </c>
      <c r="C406">
        <v>46.19</v>
      </c>
      <c r="D406">
        <v>38.5</v>
      </c>
      <c r="E406">
        <v>1.19974025974026</v>
      </c>
      <c r="F406">
        <v>0.0458973803853648</v>
      </c>
      <c r="G406">
        <v>-0.03576575064050325</v>
      </c>
      <c r="H406">
        <v>0.018</v>
      </c>
      <c r="I406">
        <v>0.02876315092447435</v>
      </c>
      <c r="J406" t="s">
        <v>378</v>
      </c>
      <c r="K406" t="s">
        <v>773</v>
      </c>
      <c r="L406">
        <v>2.75</v>
      </c>
      <c r="M406">
        <v>2.12</v>
      </c>
      <c r="N406">
        <v>0.770909090909091</v>
      </c>
      <c r="O406">
        <v>21</v>
      </c>
      <c r="P406">
        <v>0.01643215369887963</v>
      </c>
      <c r="Q406">
        <v>0.4154109525774211</v>
      </c>
      <c r="R406" t="s">
        <v>778</v>
      </c>
      <c r="S406" t="s">
        <v>790</v>
      </c>
      <c r="T406">
        <v>8072.305245</v>
      </c>
      <c r="U406" s="2">
        <v>44420</v>
      </c>
      <c r="V406" t="s">
        <v>800</v>
      </c>
    </row>
    <row r="407" spans="1:22">
      <c r="A407" s="1" t="s">
        <v>427</v>
      </c>
      <c r="B407">
        <f>HYPERLINK("https://www.suredividend.com/sure-analysis-MMC/","Marsh &amp; McLennan Cos., Inc.")</f>
        <v>0</v>
      </c>
      <c r="C407">
        <v>161.81</v>
      </c>
      <c r="D407">
        <v>129</v>
      </c>
      <c r="E407">
        <v>1.254341085271318</v>
      </c>
      <c r="F407">
        <v>0.01174216673876769</v>
      </c>
      <c r="G407">
        <v>-0.04431037683870021</v>
      </c>
      <c r="H407">
        <v>0.062</v>
      </c>
      <c r="I407">
        <v>0.02782687812126983</v>
      </c>
      <c r="J407" t="s">
        <v>378</v>
      </c>
      <c r="K407" t="s">
        <v>774</v>
      </c>
      <c r="L407">
        <v>6</v>
      </c>
      <c r="M407">
        <v>1.9</v>
      </c>
      <c r="N407">
        <v>0.3166666666666667</v>
      </c>
      <c r="O407">
        <v>11</v>
      </c>
      <c r="P407">
        <v>0.059780741378197</v>
      </c>
      <c r="Q407">
        <v>0.430899479311578</v>
      </c>
      <c r="R407" t="s">
        <v>776</v>
      </c>
      <c r="S407" t="s">
        <v>786</v>
      </c>
      <c r="T407">
        <v>82073.40147</v>
      </c>
      <c r="U407" s="2">
        <v>44400</v>
      </c>
      <c r="V407" t="s">
        <v>793</v>
      </c>
    </row>
    <row r="408" spans="1:22">
      <c r="A408" s="1" t="s">
        <v>428</v>
      </c>
      <c r="B408">
        <f>HYPERLINK("https://www.suredividend.com/sure-analysis-BAC/","Bank Of America Corp.")</f>
        <v>0</v>
      </c>
      <c r="C408">
        <v>46.28</v>
      </c>
      <c r="D408">
        <v>39</v>
      </c>
      <c r="E408">
        <v>1.186666666666667</v>
      </c>
      <c r="F408">
        <v>0.01815038893690579</v>
      </c>
      <c r="G408">
        <v>-0.03365044421988528</v>
      </c>
      <c r="H408">
        <v>0.04</v>
      </c>
      <c r="I408">
        <v>0.02780920440148282</v>
      </c>
      <c r="J408" t="s">
        <v>378</v>
      </c>
      <c r="K408" t="s">
        <v>486</v>
      </c>
      <c r="L408">
        <v>3.35</v>
      </c>
      <c r="M408">
        <v>0.84</v>
      </c>
      <c r="N408">
        <v>0.2507462686567164</v>
      </c>
      <c r="O408">
        <v>8</v>
      </c>
      <c r="P408">
        <v>0.09953965407958165</v>
      </c>
      <c r="Q408">
        <v>0.9525361494993381</v>
      </c>
      <c r="R408" t="s">
        <v>776</v>
      </c>
      <c r="S408" t="s">
        <v>786</v>
      </c>
      <c r="T408">
        <v>390199.092962</v>
      </c>
      <c r="U408" s="2">
        <v>44485</v>
      </c>
      <c r="V408" t="s">
        <v>795</v>
      </c>
    </row>
    <row r="409" spans="1:22">
      <c r="A409" s="1" t="s">
        <v>429</v>
      </c>
      <c r="B409">
        <f>HYPERLINK("https://www.suredividend.com/sure-analysis-ESRT/","Empire State Realty Trust Inc")</f>
        <v>0</v>
      </c>
      <c r="C409">
        <v>10.91</v>
      </c>
      <c r="D409">
        <v>10.11</v>
      </c>
      <c r="E409">
        <v>1.079129574678536</v>
      </c>
      <c r="F409">
        <v>0.01283226397800183</v>
      </c>
      <c r="G409">
        <v>-0.01511554904120227</v>
      </c>
      <c r="H409">
        <v>0.02</v>
      </c>
      <c r="I409">
        <v>0.02620492708533395</v>
      </c>
      <c r="J409" t="s">
        <v>378</v>
      </c>
      <c r="K409" t="s">
        <v>774</v>
      </c>
      <c r="L409">
        <v>0.64</v>
      </c>
      <c r="M409">
        <v>0.14</v>
      </c>
      <c r="N409">
        <v>0.21875</v>
      </c>
      <c r="O409">
        <v>0</v>
      </c>
      <c r="P409">
        <v>0.2011244339814311</v>
      </c>
      <c r="Q409">
        <v>0.693154508101403</v>
      </c>
      <c r="R409" t="s">
        <v>778</v>
      </c>
      <c r="S409" t="s">
        <v>790</v>
      </c>
      <c r="T409">
        <v>1882.729179</v>
      </c>
      <c r="U409" s="2">
        <v>44427</v>
      </c>
      <c r="V409" t="s">
        <v>791</v>
      </c>
    </row>
    <row r="410" spans="1:22">
      <c r="A410" s="1" t="s">
        <v>430</v>
      </c>
      <c r="B410">
        <f>HYPERLINK("https://www.suredividend.com/sure-analysis-DLR/","Digital Realty Trust Inc")</f>
        <v>0</v>
      </c>
      <c r="C410">
        <v>147.54</v>
      </c>
      <c r="D410">
        <v>104</v>
      </c>
      <c r="E410">
        <v>1.418653846153846</v>
      </c>
      <c r="F410">
        <v>0.03144909854954588</v>
      </c>
      <c r="G410">
        <v>-0.0675518062082392</v>
      </c>
      <c r="H410">
        <v>0.06</v>
      </c>
      <c r="I410">
        <v>0.02496896817570171</v>
      </c>
      <c r="J410" t="s">
        <v>378</v>
      </c>
      <c r="K410" t="s">
        <v>773</v>
      </c>
      <c r="L410">
        <v>6.48</v>
      </c>
      <c r="M410">
        <v>4.64</v>
      </c>
      <c r="N410">
        <v>0.7160493827160492</v>
      </c>
      <c r="O410">
        <v>17</v>
      </c>
      <c r="P410">
        <v>0.06002162190703619</v>
      </c>
      <c r="Q410">
        <v>-0.03402517662725901</v>
      </c>
      <c r="R410" t="s">
        <v>778</v>
      </c>
      <c r="S410" t="s">
        <v>790</v>
      </c>
      <c r="T410">
        <v>41693.834367</v>
      </c>
      <c r="U410" s="2">
        <v>44413</v>
      </c>
      <c r="V410" t="s">
        <v>797</v>
      </c>
    </row>
    <row r="411" spans="1:22">
      <c r="A411" s="1" t="s">
        <v>431</v>
      </c>
      <c r="B411">
        <f>HYPERLINK("https://www.suredividend.com/sure-analysis-FITB/","Fifth Third Bancorp")</f>
        <v>0</v>
      </c>
      <c r="C411">
        <v>44.05</v>
      </c>
      <c r="D411">
        <v>37</v>
      </c>
      <c r="E411">
        <v>1.19054054054054</v>
      </c>
      <c r="F411">
        <v>0.02724177071509648</v>
      </c>
      <c r="G411">
        <v>-0.03428014108145394</v>
      </c>
      <c r="H411">
        <v>0.03</v>
      </c>
      <c r="I411">
        <v>0.02340502343028583</v>
      </c>
      <c r="J411" t="s">
        <v>378</v>
      </c>
      <c r="K411" t="s">
        <v>486</v>
      </c>
      <c r="L411">
        <v>3.65</v>
      </c>
      <c r="M411">
        <v>1.2</v>
      </c>
      <c r="N411">
        <v>0.3287671232876712</v>
      </c>
      <c r="O411">
        <v>11</v>
      </c>
      <c r="P411">
        <v>0.02983277847878951</v>
      </c>
      <c r="Q411">
        <v>0.9337727196118261</v>
      </c>
      <c r="R411" t="s">
        <v>776</v>
      </c>
      <c r="S411" t="s">
        <v>786</v>
      </c>
      <c r="T411">
        <v>30115.316703</v>
      </c>
      <c r="U411" s="2">
        <v>44475</v>
      </c>
      <c r="V411" t="s">
        <v>792</v>
      </c>
    </row>
    <row r="412" spans="1:22">
      <c r="A412" s="1" t="s">
        <v>432</v>
      </c>
      <c r="B412">
        <f>HYPERLINK("https://www.suredividend.com/sure-analysis-CMA/","Comerica, Inc.")</f>
        <v>0</v>
      </c>
      <c r="C412">
        <v>83.8</v>
      </c>
      <c r="D412">
        <v>83</v>
      </c>
      <c r="E412">
        <v>1.009638554216868</v>
      </c>
      <c r="F412">
        <v>0.0324582338902148</v>
      </c>
      <c r="G412">
        <v>-0.001916640831935323</v>
      </c>
      <c r="H412">
        <v>-0.01</v>
      </c>
      <c r="I412">
        <v>0.02279578460290876</v>
      </c>
      <c r="J412" t="s">
        <v>378</v>
      </c>
      <c r="K412" t="s">
        <v>378</v>
      </c>
      <c r="L412">
        <v>7.5</v>
      </c>
      <c r="M412">
        <v>2.72</v>
      </c>
      <c r="N412">
        <v>0.3626666666666667</v>
      </c>
      <c r="O412">
        <v>11</v>
      </c>
      <c r="P412">
        <v>0.02978919320783269</v>
      </c>
      <c r="Q412">
        <v>1.074512489564952</v>
      </c>
      <c r="R412" t="s">
        <v>776</v>
      </c>
      <c r="S412" t="s">
        <v>786</v>
      </c>
      <c r="T412">
        <v>11115.66295</v>
      </c>
      <c r="U412" s="2">
        <v>44398</v>
      </c>
      <c r="V412" t="s">
        <v>797</v>
      </c>
    </row>
    <row r="413" spans="1:22">
      <c r="A413" s="1" t="s">
        <v>433</v>
      </c>
      <c r="B413">
        <f>HYPERLINK("https://www.suredividend.com/sure-analysis-SBUX/","Starbucks Corp.")</f>
        <v>0</v>
      </c>
      <c r="C413">
        <v>113.37</v>
      </c>
      <c r="D413">
        <v>74</v>
      </c>
      <c r="E413">
        <v>1.532027027027027</v>
      </c>
      <c r="F413">
        <v>0.01728852430096145</v>
      </c>
      <c r="G413">
        <v>-0.08178007061821257</v>
      </c>
      <c r="H413">
        <v>0.09</v>
      </c>
      <c r="I413">
        <v>0.02179826534522844</v>
      </c>
      <c r="J413" t="s">
        <v>378</v>
      </c>
      <c r="K413" t="s">
        <v>486</v>
      </c>
      <c r="L413">
        <v>3.22</v>
      </c>
      <c r="M413">
        <v>1.96</v>
      </c>
      <c r="N413">
        <v>0.608695652173913</v>
      </c>
      <c r="O413">
        <v>12</v>
      </c>
      <c r="P413">
        <v>0.0800087729241854</v>
      </c>
      <c r="Q413">
        <v>0.2803648666502</v>
      </c>
      <c r="R413" t="s">
        <v>776</v>
      </c>
      <c r="S413" t="s">
        <v>788</v>
      </c>
      <c r="T413">
        <v>131410.695</v>
      </c>
      <c r="U413" s="2">
        <v>44406</v>
      </c>
      <c r="V413" t="s">
        <v>797</v>
      </c>
    </row>
    <row r="414" spans="1:22">
      <c r="A414" s="1" t="s">
        <v>434</v>
      </c>
      <c r="B414">
        <f>HYPERLINK("https://www.suredividend.com/sure-analysis-MRVL/","Marvell Technology Inc")</f>
        <v>0</v>
      </c>
      <c r="C414">
        <v>67.17</v>
      </c>
      <c r="D414">
        <v>29</v>
      </c>
      <c r="E414">
        <v>2.316206896551724</v>
      </c>
      <c r="F414">
        <v>0.003573023671281822</v>
      </c>
      <c r="G414">
        <v>-0.1546344806342332</v>
      </c>
      <c r="H414">
        <v>0.2</v>
      </c>
      <c r="I414">
        <v>0.01779030669298143</v>
      </c>
      <c r="J414" t="s">
        <v>378</v>
      </c>
      <c r="K414" t="s">
        <v>774</v>
      </c>
      <c r="L414">
        <v>1.4</v>
      </c>
      <c r="M414">
        <v>0.24</v>
      </c>
      <c r="N414">
        <v>0.1714285714285714</v>
      </c>
      <c r="O414">
        <v>0</v>
      </c>
      <c r="P414">
        <v>0</v>
      </c>
      <c r="Q414">
        <v>0.3839904037710311</v>
      </c>
      <c r="R414" t="s">
        <v>776</v>
      </c>
      <c r="S414" t="s">
        <v>784</v>
      </c>
      <c r="T414">
        <v>54066.911147</v>
      </c>
      <c r="U414" s="2">
        <v>44461</v>
      </c>
      <c r="V414" t="s">
        <v>798</v>
      </c>
    </row>
    <row r="415" spans="1:22">
      <c r="A415" s="1" t="s">
        <v>435</v>
      </c>
      <c r="B415">
        <f>HYPERLINK("https://www.suredividend.com/sure-analysis-APLE/","Apple Hospitality REIT Inc")</f>
        <v>0</v>
      </c>
      <c r="C415">
        <v>15.97</v>
      </c>
      <c r="D415">
        <v>16.1</v>
      </c>
      <c r="E415">
        <v>0.9919254658385093</v>
      </c>
      <c r="F415">
        <v>0.002504696305572949</v>
      </c>
      <c r="G415">
        <v>0.001622777232927586</v>
      </c>
      <c r="H415">
        <v>-0.008</v>
      </c>
      <c r="I415">
        <v>0.01755732919543074</v>
      </c>
      <c r="J415" t="s">
        <v>378</v>
      </c>
      <c r="K415" t="s">
        <v>774</v>
      </c>
      <c r="L415">
        <v>0.72</v>
      </c>
      <c r="M415">
        <v>0.04</v>
      </c>
      <c r="N415">
        <v>0.05555555555555556</v>
      </c>
      <c r="O415">
        <v>0</v>
      </c>
      <c r="P415">
        <v>0.888175022589804</v>
      </c>
      <c r="Q415">
        <v>0.6009631649121411</v>
      </c>
      <c r="R415" t="s">
        <v>778</v>
      </c>
      <c r="S415" t="s">
        <v>790</v>
      </c>
      <c r="T415">
        <v>3674.00603</v>
      </c>
      <c r="U415" s="2">
        <v>44420</v>
      </c>
      <c r="V415" t="s">
        <v>800</v>
      </c>
    </row>
    <row r="416" spans="1:22">
      <c r="A416" s="1" t="s">
        <v>436</v>
      </c>
      <c r="B416">
        <f>HYPERLINK("https://www.suredividend.com/sure-analysis-PAYX/","Paychex Inc.")</f>
        <v>0</v>
      </c>
      <c r="C416">
        <v>120.11</v>
      </c>
      <c r="D416">
        <v>86</v>
      </c>
      <c r="E416">
        <v>1.396627906976744</v>
      </c>
      <c r="F416">
        <v>0.02197985180251436</v>
      </c>
      <c r="G416">
        <v>-0.06462909513851711</v>
      </c>
      <c r="H416">
        <v>0.06</v>
      </c>
      <c r="I416">
        <v>0.01658525297233715</v>
      </c>
      <c r="J416" t="s">
        <v>378</v>
      </c>
      <c r="K416" t="s">
        <v>486</v>
      </c>
      <c r="L416">
        <v>3.44</v>
      </c>
      <c r="M416">
        <v>2.64</v>
      </c>
      <c r="N416">
        <v>0.7674418604651163</v>
      </c>
      <c r="O416">
        <v>10</v>
      </c>
      <c r="P416">
        <v>0.0500384320386924</v>
      </c>
      <c r="Q416">
        <v>0.461898615521277</v>
      </c>
      <c r="R416" t="s">
        <v>776</v>
      </c>
      <c r="S416" t="s">
        <v>783</v>
      </c>
      <c r="T416">
        <v>42964.386314</v>
      </c>
      <c r="U416" s="2">
        <v>44472</v>
      </c>
      <c r="V416" t="s">
        <v>792</v>
      </c>
    </row>
    <row r="417" spans="1:22">
      <c r="A417" s="1" t="s">
        <v>437</v>
      </c>
      <c r="B417">
        <f>HYPERLINK("https://www.suredividend.com/sure-analysis-EAF/","GrafTech International Ltd.")</f>
        <v>0</v>
      </c>
      <c r="C417">
        <v>10.97</v>
      </c>
      <c r="D417">
        <v>9</v>
      </c>
      <c r="E417">
        <v>1.218888888888889</v>
      </c>
      <c r="F417">
        <v>0.003646308113035551</v>
      </c>
      <c r="G417">
        <v>-0.03881457578615488</v>
      </c>
      <c r="H417">
        <v>0.05</v>
      </c>
      <c r="I417">
        <v>0.01323899354575397</v>
      </c>
      <c r="J417" t="s">
        <v>378</v>
      </c>
      <c r="K417" t="s">
        <v>774</v>
      </c>
      <c r="L417">
        <v>1.54</v>
      </c>
      <c r="M417">
        <v>0.04</v>
      </c>
      <c r="N417">
        <v>0.02597402597402597</v>
      </c>
      <c r="O417">
        <v>0</v>
      </c>
      <c r="P417">
        <v>0.04563955259127317</v>
      </c>
      <c r="Q417">
        <v>0.5453568600837</v>
      </c>
      <c r="R417" t="s">
        <v>776</v>
      </c>
      <c r="S417" t="s">
        <v>783</v>
      </c>
      <c r="T417">
        <v>2927.936619</v>
      </c>
      <c r="U417" s="2">
        <v>44418</v>
      </c>
      <c r="V417" t="s">
        <v>793</v>
      </c>
    </row>
    <row r="418" spans="1:22">
      <c r="A418" s="1" t="s">
        <v>438</v>
      </c>
      <c r="B418">
        <f>HYPERLINK("https://www.suredividend.com/sure-analysis-GS/","Goldman Sachs Group, Inc.")</f>
        <v>0</v>
      </c>
      <c r="C418">
        <v>413.69</v>
      </c>
      <c r="D418">
        <v>671</v>
      </c>
      <c r="E418">
        <v>0.6165275707898659</v>
      </c>
      <c r="F418">
        <v>0.01933815175614591</v>
      </c>
      <c r="G418">
        <v>0.101563404076751</v>
      </c>
      <c r="H418">
        <v>-0.1</v>
      </c>
      <c r="I418">
        <v>0.01299323783171835</v>
      </c>
      <c r="J418" t="s">
        <v>378</v>
      </c>
      <c r="K418" t="s">
        <v>486</v>
      </c>
      <c r="L418">
        <v>61</v>
      </c>
      <c r="M418">
        <v>8</v>
      </c>
      <c r="N418">
        <v>0.1311475409836066</v>
      </c>
      <c r="O418">
        <v>10</v>
      </c>
      <c r="P418">
        <v>0.03993111034207586</v>
      </c>
      <c r="Q418">
        <v>1.004121065554554</v>
      </c>
      <c r="R418" t="s">
        <v>776</v>
      </c>
      <c r="S418" t="s">
        <v>786</v>
      </c>
      <c r="T418">
        <v>136885.176952</v>
      </c>
      <c r="U418" s="2">
        <v>44485</v>
      </c>
      <c r="V418" t="s">
        <v>795</v>
      </c>
    </row>
    <row r="419" spans="1:22">
      <c r="A419" s="1" t="s">
        <v>439</v>
      </c>
      <c r="B419">
        <f>HYPERLINK("https://www.suredividend.com/sure-analysis-NSRGY/","Nestle SA")</f>
        <v>0</v>
      </c>
      <c r="C419">
        <v>124.74</v>
      </c>
      <c r="D419">
        <v>90</v>
      </c>
      <c r="E419">
        <v>1.386</v>
      </c>
      <c r="F419">
        <v>0.02405002405002405</v>
      </c>
      <c r="G419">
        <v>-0.06319898212400932</v>
      </c>
      <c r="H419">
        <v>0.05</v>
      </c>
      <c r="I419">
        <v>0.01062175148823741</v>
      </c>
      <c r="J419" t="s">
        <v>378</v>
      </c>
      <c r="K419" t="s">
        <v>378</v>
      </c>
      <c r="L419">
        <v>5</v>
      </c>
      <c r="M419">
        <v>3</v>
      </c>
      <c r="N419">
        <v>0.6</v>
      </c>
      <c r="O419">
        <v>4</v>
      </c>
      <c r="P419">
        <v>0.034822227649</v>
      </c>
      <c r="Q419">
        <v>0.060003399626041</v>
      </c>
      <c r="R419" t="s">
        <v>776</v>
      </c>
      <c r="S419" t="s">
        <v>785</v>
      </c>
      <c r="T419">
        <v>351086.8</v>
      </c>
      <c r="U419" s="2">
        <v>44424</v>
      </c>
      <c r="V419" t="s">
        <v>796</v>
      </c>
    </row>
    <row r="420" spans="1:22">
      <c r="A420" s="1" t="s">
        <v>440</v>
      </c>
      <c r="B420">
        <f>HYPERLINK("https://www.suredividend.com/sure-analysis-PSA/","Public Storage")</f>
        <v>0</v>
      </c>
      <c r="C420">
        <v>322.22</v>
      </c>
      <c r="D420">
        <v>242</v>
      </c>
      <c r="E420">
        <v>1.331487603305785</v>
      </c>
      <c r="F420">
        <v>0.02482775743280988</v>
      </c>
      <c r="G420">
        <v>-0.05565089178795402</v>
      </c>
      <c r="H420">
        <v>0.04</v>
      </c>
      <c r="I420">
        <v>0.01049349367280583</v>
      </c>
      <c r="J420" t="s">
        <v>378</v>
      </c>
      <c r="K420" t="s">
        <v>486</v>
      </c>
      <c r="L420">
        <v>12.1</v>
      </c>
      <c r="M420">
        <v>8</v>
      </c>
      <c r="N420">
        <v>0.6611570247933884</v>
      </c>
      <c r="O420">
        <v>0</v>
      </c>
      <c r="P420">
        <v>0.03993111034207586</v>
      </c>
      <c r="Q420">
        <v>0.413249021538973</v>
      </c>
      <c r="R420" t="s">
        <v>778</v>
      </c>
      <c r="S420" t="s">
        <v>790</v>
      </c>
      <c r="T420">
        <v>55971.406018</v>
      </c>
      <c r="U420" s="2">
        <v>44415</v>
      </c>
      <c r="V420" t="s">
        <v>792</v>
      </c>
    </row>
    <row r="421" spans="1:22">
      <c r="A421" s="1" t="s">
        <v>441</v>
      </c>
      <c r="B421">
        <f>HYPERLINK("https://www.suredividend.com/sure-analysis-ABB/","ABB Ltd.")</f>
        <v>0</v>
      </c>
      <c r="C421">
        <v>34.24</v>
      </c>
      <c r="D421">
        <v>21</v>
      </c>
      <c r="E421">
        <v>1.630476190476191</v>
      </c>
      <c r="F421">
        <v>0.02482476635514019</v>
      </c>
      <c r="G421">
        <v>-0.09314655377420933</v>
      </c>
      <c r="H421">
        <v>0.08</v>
      </c>
      <c r="I421">
        <v>0.007515521279066073</v>
      </c>
      <c r="J421" t="s">
        <v>378</v>
      </c>
      <c r="K421" t="s">
        <v>378</v>
      </c>
      <c r="L421">
        <v>1.3</v>
      </c>
      <c r="M421">
        <v>0.85</v>
      </c>
      <c r="N421">
        <v>0.6538461538461539</v>
      </c>
      <c r="O421">
        <v>2</v>
      </c>
      <c r="P421">
        <v>0.03303780411393231</v>
      </c>
      <c r="Q421">
        <v>0.326543563629091</v>
      </c>
      <c r="R421" t="s">
        <v>776</v>
      </c>
      <c r="S421" t="s">
        <v>783</v>
      </c>
      <c r="T421">
        <v>70813.083625</v>
      </c>
      <c r="U421" s="2">
        <v>44400</v>
      </c>
      <c r="V421" t="s">
        <v>796</v>
      </c>
    </row>
    <row r="422" spans="1:22">
      <c r="A422" s="1" t="s">
        <v>442</v>
      </c>
      <c r="B422">
        <f>HYPERLINK("https://www.suredividend.com/sure-analysis-M/","Macy`s Inc")</f>
        <v>0</v>
      </c>
      <c r="C422">
        <v>28.25</v>
      </c>
      <c r="D422">
        <v>25</v>
      </c>
      <c r="E422">
        <v>1.13</v>
      </c>
      <c r="F422">
        <v>0.02123893805309734</v>
      </c>
      <c r="G422">
        <v>-0.02414720285851069</v>
      </c>
      <c r="H422">
        <v>0.01</v>
      </c>
      <c r="I422">
        <v>0.007155284456717315</v>
      </c>
      <c r="J422" t="s">
        <v>378</v>
      </c>
      <c r="K422" t="s">
        <v>486</v>
      </c>
      <c r="L422">
        <v>3.6</v>
      </c>
      <c r="M422">
        <v>0.6</v>
      </c>
      <c r="N422">
        <v>0.1666666666666667</v>
      </c>
      <c r="O422">
        <v>0</v>
      </c>
      <c r="P422">
        <v>0</v>
      </c>
      <c r="Q422">
        <v>2.930545109708642</v>
      </c>
      <c r="R422" t="s">
        <v>776</v>
      </c>
      <c r="S422" t="s">
        <v>788</v>
      </c>
      <c r="T422">
        <v>7445.304474</v>
      </c>
      <c r="U422" s="2">
        <v>44433</v>
      </c>
      <c r="V422" t="s">
        <v>794</v>
      </c>
    </row>
    <row r="423" spans="1:22">
      <c r="A423" s="1" t="s">
        <v>443</v>
      </c>
      <c r="B423">
        <f>HYPERLINK("https://www.suredividend.com/sure-analysis-GLOP/","Gaslog Partners LP")</f>
        <v>0</v>
      </c>
      <c r="C423">
        <v>4.71</v>
      </c>
      <c r="D423">
        <v>4.6</v>
      </c>
      <c r="E423">
        <v>1.023913043478261</v>
      </c>
      <c r="F423">
        <v>0.008492569002123142</v>
      </c>
      <c r="G423">
        <v>-0.004715169427406241</v>
      </c>
      <c r="H423">
        <v>0</v>
      </c>
      <c r="I423">
        <v>0.006155823794051551</v>
      </c>
      <c r="J423" t="s">
        <v>378</v>
      </c>
      <c r="K423" t="s">
        <v>486</v>
      </c>
      <c r="L423">
        <v>1.15</v>
      </c>
      <c r="M423">
        <v>0.04</v>
      </c>
      <c r="N423">
        <v>0.03478260869565217</v>
      </c>
      <c r="O423">
        <v>0</v>
      </c>
      <c r="P423">
        <v>0.08447177119769855</v>
      </c>
      <c r="Q423">
        <v>0.348248454518693</v>
      </c>
      <c r="R423" t="s">
        <v>776</v>
      </c>
      <c r="S423" t="s">
        <v>789</v>
      </c>
      <c r="T423">
        <v>217.631634</v>
      </c>
      <c r="U423" s="2">
        <v>44404</v>
      </c>
      <c r="V423" t="s">
        <v>791</v>
      </c>
    </row>
    <row r="424" spans="1:22">
      <c r="A424" s="1" t="s">
        <v>444</v>
      </c>
      <c r="B424">
        <f>HYPERLINK("https://www.suredividend.com/sure-analysis-DEO/","Diageo plc")</f>
        <v>0</v>
      </c>
      <c r="C424">
        <v>198.23</v>
      </c>
      <c r="D424">
        <v>123</v>
      </c>
      <c r="E424">
        <v>1.611626016260163</v>
      </c>
      <c r="F424">
        <v>0.0202794733390506</v>
      </c>
      <c r="G424">
        <v>-0.09103503096807786</v>
      </c>
      <c r="H424">
        <v>0.08</v>
      </c>
      <c r="I424">
        <v>0.005803415608992335</v>
      </c>
      <c r="J424" t="s">
        <v>378</v>
      </c>
      <c r="K424" t="s">
        <v>486</v>
      </c>
      <c r="L424">
        <v>6.15</v>
      </c>
      <c r="M424">
        <v>4.02</v>
      </c>
      <c r="N424">
        <v>0.6536585365853658</v>
      </c>
      <c r="O424">
        <v>8</v>
      </c>
      <c r="P424">
        <v>0.04997331683701267</v>
      </c>
      <c r="Q424">
        <v>0.470679404141253</v>
      </c>
      <c r="R424" t="s">
        <v>776</v>
      </c>
      <c r="S424" t="s">
        <v>785</v>
      </c>
      <c r="T424">
        <v>116180.981128</v>
      </c>
      <c r="U424" s="2">
        <v>44422</v>
      </c>
      <c r="V424" t="s">
        <v>792</v>
      </c>
    </row>
    <row r="425" spans="1:22">
      <c r="A425" s="1" t="s">
        <v>445</v>
      </c>
      <c r="B425">
        <f>HYPERLINK("https://www.suredividend.com/sure-analysis-TER/","Teradyne, Inc.")</f>
        <v>0</v>
      </c>
      <c r="C425">
        <v>115.78</v>
      </c>
      <c r="D425">
        <v>79</v>
      </c>
      <c r="E425">
        <v>1.465569620253165</v>
      </c>
      <c r="F425">
        <v>0.003454828122300916</v>
      </c>
      <c r="G425">
        <v>-0.0735996526678967</v>
      </c>
      <c r="H425">
        <v>0.08</v>
      </c>
      <c r="I425">
        <v>0.005081907320268364</v>
      </c>
      <c r="J425" t="s">
        <v>378</v>
      </c>
      <c r="K425" t="s">
        <v>774</v>
      </c>
      <c r="L425">
        <v>4.4</v>
      </c>
      <c r="M425">
        <v>0.4</v>
      </c>
      <c r="N425">
        <v>0.09090909090909091</v>
      </c>
      <c r="O425">
        <v>0</v>
      </c>
      <c r="P425">
        <v>0.09856054330611763</v>
      </c>
      <c r="Q425">
        <v>0.319891878239047</v>
      </c>
      <c r="R425" t="s">
        <v>776</v>
      </c>
      <c r="S425" t="s">
        <v>784</v>
      </c>
      <c r="T425">
        <v>18941.059288</v>
      </c>
      <c r="U425" s="2">
        <v>44406</v>
      </c>
      <c r="V425" t="s">
        <v>802</v>
      </c>
    </row>
    <row r="426" spans="1:22">
      <c r="A426" s="1" t="s">
        <v>446</v>
      </c>
      <c r="B426">
        <f>HYPERLINK("https://www.suredividend.com/sure-analysis-PACW/","Pacwest Bancorp")</f>
        <v>0</v>
      </c>
      <c r="C426">
        <v>48.11</v>
      </c>
      <c r="D426">
        <v>43</v>
      </c>
      <c r="E426">
        <v>1.118837209302326</v>
      </c>
      <c r="F426">
        <v>0.02078569943878612</v>
      </c>
      <c r="G426">
        <v>-0.02220768466228606</v>
      </c>
      <c r="H426">
        <v>0</v>
      </c>
      <c r="I426">
        <v>0.002902991658411347</v>
      </c>
      <c r="J426" t="s">
        <v>378</v>
      </c>
      <c r="K426" t="s">
        <v>486</v>
      </c>
      <c r="L426">
        <v>4.75</v>
      </c>
      <c r="M426">
        <v>1</v>
      </c>
      <c r="N426">
        <v>0.2105263157894737</v>
      </c>
      <c r="O426">
        <v>0</v>
      </c>
      <c r="P426">
        <v>0.05061112176150684</v>
      </c>
      <c r="Q426">
        <v>1.60802316780202</v>
      </c>
      <c r="R426" t="s">
        <v>776</v>
      </c>
      <c r="S426" t="s">
        <v>786</v>
      </c>
      <c r="T426">
        <v>5573.504493</v>
      </c>
      <c r="U426" s="2">
        <v>44399</v>
      </c>
      <c r="V426" t="s">
        <v>795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55.66</v>
      </c>
      <c r="D427">
        <v>37</v>
      </c>
      <c r="E427">
        <v>1.504324324324324</v>
      </c>
      <c r="F427">
        <v>0.02012217031979878</v>
      </c>
      <c r="G427">
        <v>-0.07842283664267535</v>
      </c>
      <c r="H427">
        <v>0.06</v>
      </c>
      <c r="I427">
        <v>0.001968544807754879</v>
      </c>
      <c r="J427" t="s">
        <v>378</v>
      </c>
      <c r="K427" t="s">
        <v>486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0.269446513121485</v>
      </c>
      <c r="R427" t="s">
        <v>776</v>
      </c>
      <c r="S427" t="s">
        <v>783</v>
      </c>
      <c r="T427">
        <v>32035.973766</v>
      </c>
      <c r="U427" s="2">
        <v>44482</v>
      </c>
      <c r="V427" t="s">
        <v>797</v>
      </c>
    </row>
    <row r="428" spans="1:22">
      <c r="A428" s="1" t="s">
        <v>448</v>
      </c>
      <c r="B428">
        <f>HYPERLINK("https://www.suredividend.com/sure-analysis-HAL/","Halliburton Co.")</f>
        <v>0</v>
      </c>
      <c r="C428">
        <v>26.01</v>
      </c>
      <c r="D428">
        <v>12</v>
      </c>
      <c r="E428">
        <v>2.1675</v>
      </c>
      <c r="F428">
        <v>0.006920415224913494</v>
      </c>
      <c r="G428">
        <v>-0.1433406116910722</v>
      </c>
      <c r="H428">
        <v>0.149</v>
      </c>
      <c r="I428">
        <v>-0.002830427757176901</v>
      </c>
      <c r="J428" t="s">
        <v>378</v>
      </c>
      <c r="K428" t="s">
        <v>774</v>
      </c>
      <c r="L428">
        <v>0.9</v>
      </c>
      <c r="M428">
        <v>0.18</v>
      </c>
      <c r="N428">
        <v>0.2</v>
      </c>
      <c r="O428">
        <v>0</v>
      </c>
      <c r="P428">
        <v>0.2011244339814313</v>
      </c>
      <c r="Q428">
        <v>1.137819933259908</v>
      </c>
      <c r="R428" t="s">
        <v>776</v>
      </c>
      <c r="S428" t="s">
        <v>789</v>
      </c>
      <c r="T428">
        <v>23161.888406</v>
      </c>
      <c r="U428" s="2">
        <v>44397</v>
      </c>
      <c r="V428" t="s">
        <v>796</v>
      </c>
    </row>
    <row r="429" spans="1:22">
      <c r="A429" s="1" t="s">
        <v>449</v>
      </c>
      <c r="B429">
        <f>HYPERLINK("https://www.suredividend.com/sure-analysis-RACE/","Ferrari N.V.")</f>
        <v>0</v>
      </c>
      <c r="C429">
        <v>222.4</v>
      </c>
      <c r="D429">
        <v>146</v>
      </c>
      <c r="E429">
        <v>1.523287671232877</v>
      </c>
      <c r="F429">
        <v>0.004676258992805755</v>
      </c>
      <c r="G429">
        <v>-0.08072888397171019</v>
      </c>
      <c r="H429">
        <v>0.075</v>
      </c>
      <c r="I429">
        <v>-0.005742456870058033</v>
      </c>
      <c r="J429" t="s">
        <v>378</v>
      </c>
      <c r="K429" t="s">
        <v>774</v>
      </c>
      <c r="L429">
        <v>5.02</v>
      </c>
      <c r="M429">
        <v>1.04</v>
      </c>
      <c r="N429">
        <v>0.2071713147410359</v>
      </c>
      <c r="O429">
        <v>0</v>
      </c>
      <c r="P429">
        <v>0.07455979142129743</v>
      </c>
      <c r="Q429">
        <v>0.171430704095518</v>
      </c>
      <c r="R429" t="s">
        <v>776</v>
      </c>
      <c r="S429" t="s">
        <v>788</v>
      </c>
      <c r="T429">
        <v>41461.121474</v>
      </c>
      <c r="U429" s="2">
        <v>44412</v>
      </c>
      <c r="V429" t="s">
        <v>792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230</v>
      </c>
      <c r="D430">
        <v>142</v>
      </c>
      <c r="E430">
        <v>1.619718309859155</v>
      </c>
      <c r="F430">
        <v>0.02765217391304348</v>
      </c>
      <c r="G430">
        <v>-0.09194510963520941</v>
      </c>
      <c r="H430">
        <v>0.059</v>
      </c>
      <c r="I430">
        <v>-0.006315065656556262</v>
      </c>
      <c r="J430" t="s">
        <v>378</v>
      </c>
      <c r="K430" t="s">
        <v>378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0.601072426260281</v>
      </c>
      <c r="R430" t="s">
        <v>778</v>
      </c>
      <c r="S430" t="s">
        <v>790</v>
      </c>
      <c r="T430">
        <v>32199.814281</v>
      </c>
      <c r="U430" s="2">
        <v>44411</v>
      </c>
      <c r="V430" t="s">
        <v>800</v>
      </c>
    </row>
    <row r="431" spans="1:22">
      <c r="A431" s="1" t="s">
        <v>451</v>
      </c>
      <c r="B431">
        <f>HYPERLINK("https://www.suredividend.com/sure-analysis-NVDA/","NVIDIA Corp")</f>
        <v>0</v>
      </c>
      <c r="C431">
        <v>222.22</v>
      </c>
      <c r="D431">
        <v>104</v>
      </c>
      <c r="E431">
        <v>2.136730769230769</v>
      </c>
      <c r="F431">
        <v>0.0007200072000720008</v>
      </c>
      <c r="G431">
        <v>-0.1408874976541939</v>
      </c>
      <c r="H431">
        <v>0.15</v>
      </c>
      <c r="I431">
        <v>-0.01126608283249342</v>
      </c>
      <c r="J431" t="s">
        <v>378</v>
      </c>
      <c r="K431" t="s">
        <v>774</v>
      </c>
      <c r="L431">
        <v>4.15</v>
      </c>
      <c r="M431">
        <v>0.16</v>
      </c>
      <c r="N431">
        <v>0.03855421686746988</v>
      </c>
      <c r="O431">
        <v>0</v>
      </c>
      <c r="P431">
        <v>0</v>
      </c>
      <c r="Q431">
        <v>0.584540474564871</v>
      </c>
      <c r="R431" t="s">
        <v>776</v>
      </c>
      <c r="S431" t="s">
        <v>784</v>
      </c>
      <c r="T431">
        <v>544801.04</v>
      </c>
      <c r="U431" s="2">
        <v>44440</v>
      </c>
      <c r="V431" t="s">
        <v>794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297.41</v>
      </c>
      <c r="D432">
        <v>180</v>
      </c>
      <c r="E432">
        <v>1.652277777777778</v>
      </c>
      <c r="F432">
        <v>0.007262701321408157</v>
      </c>
      <c r="G432">
        <v>-0.09555244800744789</v>
      </c>
      <c r="H432">
        <v>0.08</v>
      </c>
      <c r="I432">
        <v>-0.01301009416406762</v>
      </c>
      <c r="J432" t="s">
        <v>378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0.66556320310585</v>
      </c>
      <c r="R432" t="s">
        <v>776</v>
      </c>
      <c r="S432" t="s">
        <v>783</v>
      </c>
      <c r="T432">
        <v>26888.245032</v>
      </c>
      <c r="U432" s="2">
        <v>44402</v>
      </c>
      <c r="V432" t="s">
        <v>794</v>
      </c>
    </row>
    <row r="433" spans="1:22">
      <c r="A433" s="1" t="s">
        <v>453</v>
      </c>
      <c r="B433">
        <f>HYPERLINK("https://www.suredividend.com/sure-analysis-KKR/","KKR &amp; Co. Inc.")</f>
        <v>0</v>
      </c>
      <c r="C433">
        <v>67.13</v>
      </c>
      <c r="D433">
        <v>36</v>
      </c>
      <c r="E433">
        <v>1.864722222222222</v>
      </c>
      <c r="F433">
        <v>0.008937881722031879</v>
      </c>
      <c r="G433">
        <v>-0.1171698212304468</v>
      </c>
      <c r="H433">
        <v>0.1</v>
      </c>
      <c r="I433">
        <v>-0.01846771648801016</v>
      </c>
      <c r="J433" t="s">
        <v>378</v>
      </c>
      <c r="K433" t="s">
        <v>774</v>
      </c>
      <c r="L433">
        <v>2.4</v>
      </c>
      <c r="M433">
        <v>0.6</v>
      </c>
      <c r="N433">
        <v>0.25</v>
      </c>
      <c r="O433">
        <v>2</v>
      </c>
      <c r="P433">
        <v>0.01924487649145656</v>
      </c>
      <c r="Q433">
        <v>0.812884871816635</v>
      </c>
      <c r="R433" t="s">
        <v>776</v>
      </c>
      <c r="S433" t="s">
        <v>786</v>
      </c>
      <c r="T433">
        <v>38602.480722</v>
      </c>
      <c r="U433" s="2">
        <v>44396</v>
      </c>
      <c r="V433" t="s">
        <v>802</v>
      </c>
    </row>
    <row r="434" spans="1:22">
      <c r="A434" s="1" t="s">
        <v>454</v>
      </c>
      <c r="B434">
        <f>HYPERLINK("https://www.suredividend.com/sure-analysis-AUY/","Yamana Gold Inc.")</f>
        <v>0</v>
      </c>
      <c r="C434">
        <v>4.29</v>
      </c>
      <c r="D434">
        <v>3.29</v>
      </c>
      <c r="E434">
        <v>1.303951367781155</v>
      </c>
      <c r="F434">
        <v>0.02564102564102564</v>
      </c>
      <c r="G434">
        <v>-0.05169569711698985</v>
      </c>
      <c r="H434">
        <v>0.02</v>
      </c>
      <c r="I434">
        <v>-0.01877997285630695</v>
      </c>
      <c r="J434" t="s">
        <v>378</v>
      </c>
      <c r="K434" t="s">
        <v>378</v>
      </c>
      <c r="L434">
        <v>4.7</v>
      </c>
      <c r="M434">
        <v>0.11</v>
      </c>
      <c r="N434">
        <v>0.02340425531914894</v>
      </c>
      <c r="O434">
        <v>0</v>
      </c>
      <c r="P434">
        <v>-0.2288378350232393</v>
      </c>
      <c r="Q434">
        <v>-0.247536371951745</v>
      </c>
      <c r="R434" t="s">
        <v>776</v>
      </c>
      <c r="S434" t="s">
        <v>782</v>
      </c>
      <c r="T434">
        <v>4199.169458</v>
      </c>
      <c r="U434" s="2">
        <v>44443</v>
      </c>
      <c r="V434" t="s">
        <v>798</v>
      </c>
    </row>
    <row r="435" spans="1:22">
      <c r="A435" s="1" t="s">
        <v>455</v>
      </c>
      <c r="B435">
        <f>HYPERLINK("https://www.suredividend.com/sure-analysis-LOGI/","Logitech International SA")</f>
        <v>0</v>
      </c>
      <c r="C435">
        <v>90.65000000000001</v>
      </c>
      <c r="D435">
        <v>65</v>
      </c>
      <c r="E435">
        <v>1.394615384615385</v>
      </c>
      <c r="F435">
        <v>0.01059018201875345</v>
      </c>
      <c r="G435">
        <v>-0.06435929039951693</v>
      </c>
      <c r="H435">
        <v>0.03</v>
      </c>
      <c r="I435">
        <v>-0.02031168258205418</v>
      </c>
      <c r="J435" t="s">
        <v>378</v>
      </c>
      <c r="K435" t="s">
        <v>774</v>
      </c>
      <c r="L435">
        <v>4.39</v>
      </c>
      <c r="M435">
        <v>0.96</v>
      </c>
      <c r="N435">
        <v>0.2186788154897494</v>
      </c>
      <c r="O435">
        <v>7</v>
      </c>
      <c r="P435">
        <v>0.1005558662160053</v>
      </c>
      <c r="Q435">
        <v>0.112350851625831</v>
      </c>
      <c r="R435" t="s">
        <v>776</v>
      </c>
      <c r="S435" t="s">
        <v>784</v>
      </c>
      <c r="T435">
        <v>15221.265097</v>
      </c>
      <c r="U435" s="2">
        <v>44404</v>
      </c>
      <c r="V435" t="s">
        <v>792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62.42</v>
      </c>
      <c r="D436">
        <v>49</v>
      </c>
      <c r="E436">
        <v>1.273877551020408</v>
      </c>
      <c r="F436">
        <v>0.01666132649791733</v>
      </c>
      <c r="G436">
        <v>-0.04725985949973166</v>
      </c>
      <c r="H436">
        <v>0</v>
      </c>
      <c r="I436">
        <v>-0.02494564850824532</v>
      </c>
      <c r="J436" t="s">
        <v>378</v>
      </c>
      <c r="K436" t="s">
        <v>486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0.8921985034874791</v>
      </c>
      <c r="R436" t="s">
        <v>776</v>
      </c>
      <c r="S436" t="s">
        <v>782</v>
      </c>
      <c r="T436">
        <v>12630.56708</v>
      </c>
      <c r="U436" s="2">
        <v>44397</v>
      </c>
      <c r="V436" t="s">
        <v>796</v>
      </c>
    </row>
    <row r="437" spans="1:22">
      <c r="A437" s="1" t="s">
        <v>457</v>
      </c>
      <c r="B437">
        <f>HYPERLINK("https://www.suredividend.com/sure-analysis-MT/","ArcelorMittal")</f>
        <v>0</v>
      </c>
      <c r="C437">
        <v>32.46</v>
      </c>
      <c r="D437">
        <v>25</v>
      </c>
      <c r="E437">
        <v>1.2984</v>
      </c>
      <c r="F437">
        <v>0.009242144177449167</v>
      </c>
      <c r="G437">
        <v>-0.05088617682535934</v>
      </c>
      <c r="H437">
        <v>0</v>
      </c>
      <c r="I437">
        <v>-0.03390794598808711</v>
      </c>
      <c r="J437" t="s">
        <v>378</v>
      </c>
      <c r="K437" t="s">
        <v>486</v>
      </c>
      <c r="L437">
        <v>11.2</v>
      </c>
      <c r="M437">
        <v>0.3</v>
      </c>
      <c r="N437">
        <v>0.02678571428571429</v>
      </c>
      <c r="O437">
        <v>0</v>
      </c>
      <c r="P437">
        <v>0.1486983549970351</v>
      </c>
      <c r="Q437">
        <v>1.272614744764074</v>
      </c>
      <c r="R437" t="s">
        <v>776</v>
      </c>
      <c r="S437" t="s">
        <v>782</v>
      </c>
      <c r="T437">
        <v>31577.677974</v>
      </c>
      <c r="U437" s="2">
        <v>44434</v>
      </c>
      <c r="V437" t="s">
        <v>796</v>
      </c>
    </row>
    <row r="438" spans="1:22">
      <c r="A438" s="1" t="s">
        <v>458</v>
      </c>
      <c r="B438">
        <f>HYPERLINK("https://www.suredividend.com/sure-analysis-INFY/","Infosys Ltd")</f>
        <v>0</v>
      </c>
      <c r="C438">
        <v>23.78</v>
      </c>
      <c r="D438">
        <v>13</v>
      </c>
      <c r="E438">
        <v>1.829230769230769</v>
      </c>
      <c r="F438">
        <v>0.01682085786375105</v>
      </c>
      <c r="G438">
        <v>-0.1137702998771507</v>
      </c>
      <c r="H438">
        <v>0.06</v>
      </c>
      <c r="I438">
        <v>-0.03463478432738332</v>
      </c>
      <c r="J438" t="s">
        <v>378</v>
      </c>
      <c r="K438" t="s">
        <v>486</v>
      </c>
      <c r="L438">
        <v>0.68</v>
      </c>
      <c r="M438">
        <v>0.4</v>
      </c>
      <c r="N438">
        <v>0.5882352941176471</v>
      </c>
      <c r="O438">
        <v>6</v>
      </c>
      <c r="P438">
        <v>0.08083252207959757</v>
      </c>
      <c r="Q438">
        <v>0.5396063401752961</v>
      </c>
      <c r="R438" t="s">
        <v>776</v>
      </c>
      <c r="S438" t="s">
        <v>784</v>
      </c>
      <c r="T438">
        <v>99628.533819</v>
      </c>
      <c r="U438" s="2">
        <v>44403</v>
      </c>
      <c r="V438" t="s">
        <v>794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104.12</v>
      </c>
      <c r="D439">
        <v>58</v>
      </c>
      <c r="E439">
        <v>1.795172413793104</v>
      </c>
      <c r="F439">
        <v>0.003073376872839032</v>
      </c>
      <c r="G439">
        <v>-0.1104327886552063</v>
      </c>
      <c r="H439">
        <v>0.08</v>
      </c>
      <c r="I439">
        <v>-0.03568670745188096</v>
      </c>
      <c r="J439" t="s">
        <v>378</v>
      </c>
      <c r="K439" t="s">
        <v>774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0.796022981387828</v>
      </c>
      <c r="R439" t="s">
        <v>776</v>
      </c>
      <c r="S439" t="s">
        <v>783</v>
      </c>
      <c r="T439">
        <v>114851</v>
      </c>
      <c r="U439" s="2">
        <v>44404</v>
      </c>
      <c r="V439" t="s">
        <v>797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112.15</v>
      </c>
      <c r="D440">
        <v>83</v>
      </c>
      <c r="E440">
        <v>1.351204819277108</v>
      </c>
      <c r="F440">
        <v>0.004814979937583594</v>
      </c>
      <c r="G440">
        <v>-0.05842317022905619</v>
      </c>
      <c r="H440">
        <v>0.017</v>
      </c>
      <c r="I440">
        <v>-0.03645030942814065</v>
      </c>
      <c r="J440" t="s">
        <v>378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0.5524157659205411</v>
      </c>
      <c r="R440" t="s">
        <v>776</v>
      </c>
      <c r="S440" t="s">
        <v>784</v>
      </c>
      <c r="T440">
        <v>141869.112863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HYPERLINK("https://www.suredividend.com/sure-analysis-TRI/","Thomson-Reuters Corp")</f>
        <v>0</v>
      </c>
      <c r="C441">
        <v>117.34</v>
      </c>
      <c r="D441">
        <v>67</v>
      </c>
      <c r="E441">
        <v>1.75134328358209</v>
      </c>
      <c r="F441">
        <v>0.0138060337480825</v>
      </c>
      <c r="G441">
        <v>-0.1060242387047839</v>
      </c>
      <c r="H441">
        <v>0.05</v>
      </c>
      <c r="I441">
        <v>-0.0436937120473917</v>
      </c>
      <c r="J441" t="s">
        <v>378</v>
      </c>
      <c r="K441" t="s">
        <v>486</v>
      </c>
      <c r="L441">
        <v>2.09</v>
      </c>
      <c r="M441">
        <v>1.62</v>
      </c>
      <c r="N441">
        <v>0.7751196172248805</v>
      </c>
      <c r="O441">
        <v>28</v>
      </c>
      <c r="P441">
        <v>0.009687038902979728</v>
      </c>
      <c r="Q441">
        <v>0.431384261410145</v>
      </c>
      <c r="R441" t="s">
        <v>776</v>
      </c>
      <c r="S441" t="s">
        <v>783</v>
      </c>
      <c r="T441">
        <v>57458.704869</v>
      </c>
      <c r="U441" s="2">
        <v>44419</v>
      </c>
      <c r="V441" t="s">
        <v>793</v>
      </c>
    </row>
    <row r="442" spans="1:22">
      <c r="A442" s="1" t="s">
        <v>462</v>
      </c>
      <c r="B442">
        <f>HYPERLINK("https://www.suredividend.com/sure-analysis-APA/","APA Corporation")</f>
        <v>0</v>
      </c>
      <c r="C442">
        <v>26.93</v>
      </c>
      <c r="D442">
        <v>16</v>
      </c>
      <c r="E442">
        <v>1.683125</v>
      </c>
      <c r="F442">
        <v>0.00928332714444857</v>
      </c>
      <c r="G442">
        <v>-0.09889224796158835</v>
      </c>
      <c r="H442">
        <v>0.04</v>
      </c>
      <c r="I442">
        <v>-0.04494989197937382</v>
      </c>
      <c r="J442" t="s">
        <v>378</v>
      </c>
      <c r="K442" t="s">
        <v>774</v>
      </c>
      <c r="L442">
        <v>2.95</v>
      </c>
      <c r="M442">
        <v>0.25</v>
      </c>
      <c r="N442">
        <v>0.0847457627118644</v>
      </c>
      <c r="O442">
        <v>1</v>
      </c>
      <c r="P442">
        <v>0.1486983549970351</v>
      </c>
      <c r="Q442">
        <v>0.356230327717089</v>
      </c>
      <c r="R442" t="s">
        <v>776</v>
      </c>
      <c r="S442" t="s">
        <v>789</v>
      </c>
      <c r="T442">
        <v>9968.427983</v>
      </c>
      <c r="U442" s="2">
        <v>44432</v>
      </c>
      <c r="V442" t="s">
        <v>796</v>
      </c>
    </row>
    <row r="443" spans="1:22">
      <c r="A443" s="1" t="s">
        <v>463</v>
      </c>
      <c r="B443">
        <f>HYPERLINK("https://www.suredividend.com/sure-analysis-TRGP/","Targa Resources Corp")</f>
        <v>0</v>
      </c>
      <c r="C443">
        <v>56.36</v>
      </c>
      <c r="D443">
        <v>36</v>
      </c>
      <c r="E443">
        <v>1.565555555555556</v>
      </c>
      <c r="F443">
        <v>0.007097232079489</v>
      </c>
      <c r="G443">
        <v>-0.08574719120230179</v>
      </c>
      <c r="H443">
        <v>0.03</v>
      </c>
      <c r="I443">
        <v>-0.04564507451765076</v>
      </c>
      <c r="J443" t="s">
        <v>378</v>
      </c>
      <c r="K443" t="s">
        <v>774</v>
      </c>
      <c r="L443">
        <v>5.2</v>
      </c>
      <c r="M443">
        <v>0.4</v>
      </c>
      <c r="N443">
        <v>0.07692307692307693</v>
      </c>
      <c r="O443">
        <v>0</v>
      </c>
      <c r="P443">
        <v>0.1247461131420948</v>
      </c>
      <c r="Q443">
        <v>2.417623674911661</v>
      </c>
      <c r="R443" t="s">
        <v>776</v>
      </c>
      <c r="S443" t="s">
        <v>789</v>
      </c>
      <c r="T443">
        <v>12738.385315</v>
      </c>
      <c r="U443" s="2">
        <v>44438</v>
      </c>
      <c r="V443" t="s">
        <v>796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180.54</v>
      </c>
      <c r="D444">
        <v>101</v>
      </c>
      <c r="E444">
        <v>1.787524752475247</v>
      </c>
      <c r="F444">
        <v>0.008197629334219563</v>
      </c>
      <c r="G444">
        <v>-0.1096729115010506</v>
      </c>
      <c r="H444">
        <v>0.05</v>
      </c>
      <c r="I444">
        <v>-0.05301674644505372</v>
      </c>
      <c r="J444" t="s">
        <v>378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0.218876219961242</v>
      </c>
      <c r="R444" t="s">
        <v>776</v>
      </c>
      <c r="S444" t="s">
        <v>782</v>
      </c>
      <c r="T444">
        <v>23474.766134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51.26</v>
      </c>
      <c r="D445">
        <v>29</v>
      </c>
      <c r="E445">
        <v>1.767586206896552</v>
      </c>
      <c r="F445">
        <v>0.01560671088568084</v>
      </c>
      <c r="G445">
        <v>-0.1076733181480795</v>
      </c>
      <c r="H445">
        <v>0.03</v>
      </c>
      <c r="I445">
        <v>-0.06000485764430985</v>
      </c>
      <c r="J445" t="s">
        <v>378</v>
      </c>
      <c r="K445" t="s">
        <v>486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1.932745314222712</v>
      </c>
      <c r="R445" t="s">
        <v>776</v>
      </c>
      <c r="S445" t="s">
        <v>782</v>
      </c>
      <c r="T445">
        <v>7896.337234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3.72</v>
      </c>
      <c r="D446">
        <v>1.98</v>
      </c>
      <c r="E446">
        <v>1.878787878787879</v>
      </c>
      <c r="F446">
        <v>0.01075268817204301</v>
      </c>
      <c r="G446">
        <v>-0.11849566968365</v>
      </c>
      <c r="H446">
        <v>-0.01</v>
      </c>
      <c r="I446">
        <v>-0.1095129450243238</v>
      </c>
      <c r="J446" t="s">
        <v>378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0.081363913839713</v>
      </c>
      <c r="R446" t="s">
        <v>778</v>
      </c>
      <c r="S446" t="s">
        <v>790</v>
      </c>
      <c r="T446">
        <v>886.753408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9.109999999999999</v>
      </c>
      <c r="D447">
        <v>2.11</v>
      </c>
      <c r="E447">
        <v>4.317535545023697</v>
      </c>
      <c r="F447">
        <v>0.01317233809001098</v>
      </c>
      <c r="G447">
        <v>-0.2536323358164713</v>
      </c>
      <c r="H447">
        <v>0.1</v>
      </c>
      <c r="I447">
        <v>-0.1481848064985506</v>
      </c>
      <c r="J447" t="s">
        <v>378</v>
      </c>
      <c r="K447" t="s">
        <v>486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3.910572547359509</v>
      </c>
      <c r="R447" t="s">
        <v>776</v>
      </c>
      <c r="S447" t="s">
        <v>789</v>
      </c>
      <c r="T447">
        <v>2367.732144</v>
      </c>
      <c r="U447" s="2">
        <v>44443</v>
      </c>
      <c r="V447" t="s">
        <v>798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11.81</v>
      </c>
      <c r="D448">
        <v>19</v>
      </c>
      <c r="E448">
        <v>0.6215789473684211</v>
      </c>
      <c r="F448">
        <v>0.1016088060965284</v>
      </c>
      <c r="G448">
        <v>0.09976714363570172</v>
      </c>
      <c r="H448">
        <v>0.04</v>
      </c>
      <c r="I448">
        <v>0.197781417855174</v>
      </c>
      <c r="J448" t="s">
        <v>486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0.4530074018784591</v>
      </c>
      <c r="R448" t="s">
        <v>777</v>
      </c>
      <c r="S448" t="s">
        <v>789</v>
      </c>
      <c r="T448">
        <v>4593.621792</v>
      </c>
      <c r="U448" s="2">
        <v>44433</v>
      </c>
      <c r="V448" t="s">
        <v>796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10.96</v>
      </c>
      <c r="D449">
        <v>18</v>
      </c>
      <c r="E449">
        <v>0.6088888888888889</v>
      </c>
      <c r="F449">
        <v>0.08302919708029197</v>
      </c>
      <c r="G449">
        <v>0.1043135224619132</v>
      </c>
      <c r="H449">
        <v>0.01</v>
      </c>
      <c r="I449">
        <v>0.1644846674201657</v>
      </c>
      <c r="J449" t="s">
        <v>486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0.7717070053518651</v>
      </c>
      <c r="R449" t="s">
        <v>776</v>
      </c>
      <c r="S449" t="s">
        <v>789</v>
      </c>
      <c r="T449">
        <v>71546.214282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HYPERLINK("https://www.suredividend.com/sure-analysis-GORO/","Gold Resource Corporation")</f>
        <v>0</v>
      </c>
      <c r="C450">
        <v>1.65</v>
      </c>
      <c r="D450">
        <v>1.35</v>
      </c>
      <c r="E450">
        <v>1.222222222222222</v>
      </c>
      <c r="F450">
        <v>0.02424242424242425</v>
      </c>
      <c r="G450">
        <v>-0.03933943162756326</v>
      </c>
      <c r="H450">
        <v>0.19</v>
      </c>
      <c r="I450">
        <v>0.1608542359838587</v>
      </c>
      <c r="J450" t="s">
        <v>486</v>
      </c>
      <c r="K450" t="s">
        <v>486</v>
      </c>
      <c r="L450">
        <v>0.09</v>
      </c>
      <c r="M450">
        <v>0.04</v>
      </c>
      <c r="N450">
        <v>0.4444444444444445</v>
      </c>
      <c r="O450">
        <v>2</v>
      </c>
      <c r="P450">
        <v>0.08447177119769855</v>
      </c>
      <c r="Q450">
        <v>-0.421381955190742</v>
      </c>
      <c r="R450" t="s">
        <v>776</v>
      </c>
      <c r="S450" t="s">
        <v>782</v>
      </c>
      <c r="T450">
        <v>128.194909</v>
      </c>
      <c r="U450" s="2">
        <v>44447</v>
      </c>
      <c r="V450" t="s">
        <v>796</v>
      </c>
    </row>
    <row r="451" spans="1:22">
      <c r="A451" s="1" t="s">
        <v>471</v>
      </c>
      <c r="B451">
        <f>HYPERLINK("https://www.suredividend.com/sure-analysis-PGR/","Progressive Corp.")</f>
        <v>0</v>
      </c>
      <c r="C451">
        <v>90.34</v>
      </c>
      <c r="D451">
        <v>96</v>
      </c>
      <c r="E451">
        <v>0.9410416666666667</v>
      </c>
      <c r="F451">
        <v>0.0542395395173788</v>
      </c>
      <c r="G451">
        <v>0.01222772701808417</v>
      </c>
      <c r="H451">
        <v>0.1</v>
      </c>
      <c r="I451">
        <v>0.1596823010653687</v>
      </c>
      <c r="J451" t="s">
        <v>486</v>
      </c>
      <c r="K451" t="s">
        <v>773</v>
      </c>
      <c r="L451">
        <v>9.6</v>
      </c>
      <c r="M451">
        <v>4.9</v>
      </c>
      <c r="N451">
        <v>0.5104166666666667</v>
      </c>
      <c r="O451">
        <v>4</v>
      </c>
      <c r="P451">
        <v>0.1201173712103891</v>
      </c>
      <c r="Q451">
        <v>-0.007367778668578</v>
      </c>
      <c r="R451" t="s">
        <v>776</v>
      </c>
      <c r="S451" t="s">
        <v>786</v>
      </c>
      <c r="T451">
        <v>53396.244748</v>
      </c>
      <c r="U451" s="2">
        <v>44394</v>
      </c>
      <c r="V451" t="s">
        <v>791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12.07</v>
      </c>
      <c r="D452">
        <v>16.2</v>
      </c>
      <c r="E452">
        <v>0.7450617283950618</v>
      </c>
      <c r="F452">
        <v>0.04971002485501243</v>
      </c>
      <c r="G452">
        <v>0.0606242410376252</v>
      </c>
      <c r="H452">
        <v>0.043</v>
      </c>
      <c r="I452">
        <v>0.1458979724215299</v>
      </c>
      <c r="J452" t="s">
        <v>486</v>
      </c>
      <c r="K452" t="s">
        <v>773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0.268992624838866</v>
      </c>
      <c r="R452" t="s">
        <v>778</v>
      </c>
      <c r="S452" t="s">
        <v>790</v>
      </c>
      <c r="T452">
        <v>2803.222478</v>
      </c>
      <c r="U452" s="2">
        <v>44447</v>
      </c>
      <c r="V452" t="s">
        <v>800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38.59</v>
      </c>
      <c r="D453">
        <v>50</v>
      </c>
      <c r="E453">
        <v>0.7718</v>
      </c>
      <c r="F453">
        <v>0.02591344908007255</v>
      </c>
      <c r="G453">
        <v>0.05317137160706586</v>
      </c>
      <c r="H453">
        <v>0.07000000000000001</v>
      </c>
      <c r="I453">
        <v>0.1425229479216259</v>
      </c>
      <c r="J453" t="s">
        <v>486</v>
      </c>
      <c r="K453" t="s">
        <v>486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1.019598347226658</v>
      </c>
      <c r="R453" t="s">
        <v>776</v>
      </c>
      <c r="S453" t="s">
        <v>788</v>
      </c>
      <c r="T453">
        <v>10910.160425</v>
      </c>
      <c r="U453" s="2">
        <v>44436</v>
      </c>
      <c r="V453" t="s">
        <v>798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16.01</v>
      </c>
      <c r="D454">
        <v>21</v>
      </c>
      <c r="E454">
        <v>0.7623809523809525</v>
      </c>
      <c r="F454">
        <v>0.0811992504684572</v>
      </c>
      <c r="G454">
        <v>0.05576094534537157</v>
      </c>
      <c r="H454">
        <v>0.01</v>
      </c>
      <c r="I454">
        <v>0.136952729727599</v>
      </c>
      <c r="J454" t="s">
        <v>486</v>
      </c>
      <c r="K454" t="s">
        <v>773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0.044146678997041</v>
      </c>
      <c r="R454" t="s">
        <v>777</v>
      </c>
      <c r="S454" t="s">
        <v>787</v>
      </c>
      <c r="T454">
        <v>995.601569</v>
      </c>
      <c r="U454" s="2">
        <v>44429</v>
      </c>
      <c r="V454" t="s">
        <v>795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41.32</v>
      </c>
      <c r="D455">
        <v>54</v>
      </c>
      <c r="E455">
        <v>0.7651851851851852</v>
      </c>
      <c r="F455">
        <v>0.0377541142303969</v>
      </c>
      <c r="G455">
        <v>0.05498598287205625</v>
      </c>
      <c r="H455">
        <v>0.05</v>
      </c>
      <c r="I455">
        <v>0.132447937483448</v>
      </c>
      <c r="J455" t="s">
        <v>486</v>
      </c>
      <c r="K455" t="s">
        <v>378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0.137753451103201</v>
      </c>
      <c r="R455" t="s">
        <v>776</v>
      </c>
      <c r="S455" t="s">
        <v>781</v>
      </c>
      <c r="T455">
        <v>232621.49989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20.04</v>
      </c>
      <c r="D456">
        <v>25</v>
      </c>
      <c r="E456">
        <v>0.8016</v>
      </c>
      <c r="F456">
        <v>0.06986027944111776</v>
      </c>
      <c r="G456">
        <v>0.04522179794226755</v>
      </c>
      <c r="H456">
        <v>0.02</v>
      </c>
      <c r="I456">
        <v>0.1210218710240165</v>
      </c>
      <c r="J456" t="s">
        <v>486</v>
      </c>
      <c r="K456" t="s">
        <v>773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0.717098943323727</v>
      </c>
      <c r="R456" t="s">
        <v>777</v>
      </c>
      <c r="S456" t="s">
        <v>789</v>
      </c>
      <c r="T456">
        <v>2110.912824</v>
      </c>
      <c r="U456" s="2">
        <v>44428</v>
      </c>
      <c r="V456" t="s">
        <v>796</v>
      </c>
    </row>
    <row r="457" spans="1:22">
      <c r="A457" s="1" t="s">
        <v>477</v>
      </c>
      <c r="B457">
        <f>HYPERLINK("https://www.suredividend.com/sure-analysis-TAP/","Molson Coors Beverage Company")</f>
        <v>0</v>
      </c>
      <c r="C457">
        <v>44.97</v>
      </c>
      <c r="D457">
        <v>58</v>
      </c>
      <c r="E457">
        <v>0.7753448275862069</v>
      </c>
      <c r="F457">
        <v>0.03024238381142984</v>
      </c>
      <c r="G457">
        <v>0.05220659903839775</v>
      </c>
      <c r="H457">
        <v>0.04</v>
      </c>
      <c r="I457">
        <v>0.1170477122971625</v>
      </c>
      <c r="J457" t="s">
        <v>486</v>
      </c>
      <c r="K457" t="s">
        <v>486</v>
      </c>
      <c r="L457">
        <v>4.15</v>
      </c>
      <c r="M457">
        <v>1.36</v>
      </c>
      <c r="N457">
        <v>0.327710843373494</v>
      </c>
      <c r="O457">
        <v>0</v>
      </c>
      <c r="P457">
        <v>0.03941506521508265</v>
      </c>
      <c r="Q457">
        <v>0.298058318727094</v>
      </c>
      <c r="R457" t="s">
        <v>776</v>
      </c>
      <c r="S457" t="s">
        <v>785</v>
      </c>
      <c r="T457">
        <v>9313.080357000001</v>
      </c>
      <c r="U457" s="2">
        <v>44411</v>
      </c>
      <c r="V457" t="s">
        <v>797</v>
      </c>
    </row>
    <row r="458" spans="1:22">
      <c r="A458" s="1" t="s">
        <v>478</v>
      </c>
      <c r="B458">
        <f>HYPERLINK("https://www.suredividend.com/sure-analysis-SLG/","SL Green Realty Corp.")</f>
        <v>0</v>
      </c>
      <c r="C458">
        <v>74.20999999999999</v>
      </c>
      <c r="D458">
        <v>85</v>
      </c>
      <c r="E458">
        <v>0.8730588235294117</v>
      </c>
      <c r="F458">
        <v>0.04904999326236357</v>
      </c>
      <c r="G458">
        <v>0.02752240129921102</v>
      </c>
      <c r="H458">
        <v>0.05</v>
      </c>
      <c r="I458">
        <v>0.1167664501927173</v>
      </c>
      <c r="J458" t="s">
        <v>486</v>
      </c>
      <c r="K458" t="s">
        <v>378</v>
      </c>
      <c r="L458">
        <v>6.5</v>
      </c>
      <c r="M458">
        <v>3.64</v>
      </c>
      <c r="N458">
        <v>0.5600000000000001</v>
      </c>
      <c r="O458">
        <v>10</v>
      </c>
      <c r="P458">
        <v>0.0386524708023015</v>
      </c>
      <c r="Q458">
        <v>0.653996846164379</v>
      </c>
      <c r="R458" t="s">
        <v>778</v>
      </c>
      <c r="S458" t="s">
        <v>790</v>
      </c>
      <c r="T458">
        <v>5193.918664</v>
      </c>
      <c r="U458" s="2">
        <v>44400</v>
      </c>
      <c r="V458" t="s">
        <v>796</v>
      </c>
    </row>
    <row r="459" spans="1:22">
      <c r="A459" s="1" t="s">
        <v>479</v>
      </c>
      <c r="B459">
        <f>HYPERLINK("https://www.suredividend.com/sure-analysis-MS/","Morgan Stanley")</f>
        <v>0</v>
      </c>
      <c r="C459">
        <v>101.41</v>
      </c>
      <c r="D459">
        <v>98</v>
      </c>
      <c r="E459">
        <v>1.034795918367347</v>
      </c>
      <c r="F459">
        <v>0.02761068928113598</v>
      </c>
      <c r="G459">
        <v>-0.006817500072075378</v>
      </c>
      <c r="H459">
        <v>0.1</v>
      </c>
      <c r="I459">
        <v>0.1160114502018359</v>
      </c>
      <c r="J459" t="s">
        <v>486</v>
      </c>
      <c r="K459" t="s">
        <v>486</v>
      </c>
      <c r="L459">
        <v>7.51</v>
      </c>
      <c r="M459">
        <v>2.8</v>
      </c>
      <c r="N459">
        <v>0.3728362183754993</v>
      </c>
      <c r="O459">
        <v>8</v>
      </c>
      <c r="P459">
        <v>0.07978367728709435</v>
      </c>
      <c r="Q459">
        <v>1.017895138204283</v>
      </c>
      <c r="R459" t="s">
        <v>776</v>
      </c>
      <c r="S459" t="s">
        <v>786</v>
      </c>
      <c r="T459">
        <v>186360.66769</v>
      </c>
      <c r="U459" s="2">
        <v>44483</v>
      </c>
      <c r="V459" t="s">
        <v>791</v>
      </c>
    </row>
    <row r="460" spans="1:22">
      <c r="A460" s="1" t="s">
        <v>480</v>
      </c>
      <c r="B460">
        <f>HYPERLINK("https://www.suredividend.com/sure-analysis-BAYRY/","Bayer AG")</f>
        <v>0</v>
      </c>
      <c r="C460">
        <v>13.6285</v>
      </c>
      <c r="D460">
        <v>17</v>
      </c>
      <c r="E460">
        <v>0.8016764705882353</v>
      </c>
      <c r="F460">
        <v>0.04402538797373151</v>
      </c>
      <c r="G460">
        <v>0.04520185678681665</v>
      </c>
      <c r="H460">
        <v>0.035</v>
      </c>
      <c r="I460">
        <v>0.1157940956676362</v>
      </c>
      <c r="J460" t="s">
        <v>486</v>
      </c>
      <c r="K460" t="s">
        <v>773</v>
      </c>
      <c r="L460">
        <v>1.92</v>
      </c>
      <c r="M460">
        <v>0.6</v>
      </c>
      <c r="N460">
        <v>0.3125</v>
      </c>
      <c r="O460">
        <v>0</v>
      </c>
      <c r="P460">
        <v>0.04000235313991807</v>
      </c>
      <c r="Q460">
        <v>0.070444104134762</v>
      </c>
      <c r="R460" t="s">
        <v>776</v>
      </c>
      <c r="S460" t="s">
        <v>781</v>
      </c>
      <c r="T460">
        <v>54937.154665</v>
      </c>
      <c r="U460" s="2">
        <v>44434</v>
      </c>
      <c r="V460" t="s">
        <v>794</v>
      </c>
    </row>
    <row r="461" spans="1:22">
      <c r="A461" s="1" t="s">
        <v>481</v>
      </c>
      <c r="B461">
        <f>HYPERLINK("https://www.suredividend.com/sure-analysis-AZN/","Astrazeneca plc")</f>
        <v>0</v>
      </c>
      <c r="C461">
        <v>59.29</v>
      </c>
      <c r="D461">
        <v>78</v>
      </c>
      <c r="E461">
        <v>0.7601282051282051</v>
      </c>
      <c r="F461">
        <v>0.02361275088547816</v>
      </c>
      <c r="G461">
        <v>0.05638598415092355</v>
      </c>
      <c r="H461">
        <v>0.04</v>
      </c>
      <c r="I461">
        <v>0.1143910913195358</v>
      </c>
      <c r="J461" t="s">
        <v>486</v>
      </c>
      <c r="K461" t="s">
        <v>486</v>
      </c>
      <c r="L461">
        <v>5.19</v>
      </c>
      <c r="M461">
        <v>1.4</v>
      </c>
      <c r="N461">
        <v>0.2697495183044316</v>
      </c>
      <c r="O461">
        <v>0</v>
      </c>
      <c r="P461">
        <v>0</v>
      </c>
      <c r="Q461">
        <v>0.166807786727222</v>
      </c>
      <c r="R461" t="s">
        <v>776</v>
      </c>
      <c r="S461" t="s">
        <v>781</v>
      </c>
      <c r="T461">
        <v>186575.546577</v>
      </c>
      <c r="U461" s="2">
        <v>44409</v>
      </c>
      <c r="V461" t="s">
        <v>792</v>
      </c>
    </row>
    <row r="462" spans="1:22">
      <c r="A462" s="1" t="s">
        <v>482</v>
      </c>
      <c r="B462">
        <f>HYPERLINK("https://www.suredividend.com/sure-analysis-PAA/","Plains All American Pipeline LP")</f>
        <v>0</v>
      </c>
      <c r="C462">
        <v>11.15</v>
      </c>
      <c r="D462">
        <v>11.4</v>
      </c>
      <c r="E462">
        <v>0.9780701754385965</v>
      </c>
      <c r="F462">
        <v>0.06457399103139012</v>
      </c>
      <c r="G462">
        <v>0.004444619650707304</v>
      </c>
      <c r="H462">
        <v>0.05</v>
      </c>
      <c r="I462">
        <v>0.1122597501754126</v>
      </c>
      <c r="J462" t="s">
        <v>486</v>
      </c>
      <c r="K462" t="s">
        <v>773</v>
      </c>
      <c r="L462">
        <v>1.9</v>
      </c>
      <c r="M462">
        <v>0.72</v>
      </c>
      <c r="N462">
        <v>0.3789473684210526</v>
      </c>
      <c r="O462">
        <v>0</v>
      </c>
      <c r="P462">
        <v>0.07003448782339894</v>
      </c>
      <c r="Q462">
        <v>0.8400941597732201</v>
      </c>
      <c r="R462" t="s">
        <v>777</v>
      </c>
      <c r="S462" t="s">
        <v>789</v>
      </c>
      <c r="T462">
        <v>7962.824494</v>
      </c>
      <c r="U462" s="2">
        <v>44416</v>
      </c>
      <c r="V462" t="s">
        <v>791</v>
      </c>
    </row>
    <row r="463" spans="1:22">
      <c r="A463" s="1" t="s">
        <v>483</v>
      </c>
      <c r="B463">
        <f>HYPERLINK("https://www.suredividend.com/sure-analysis-TGP/","Teekay LNG Partners LP")</f>
        <v>0</v>
      </c>
      <c r="C463">
        <v>17.12</v>
      </c>
      <c r="D463">
        <v>18.5</v>
      </c>
      <c r="E463">
        <v>0.9254054054054055</v>
      </c>
      <c r="F463">
        <v>0.06717289719626167</v>
      </c>
      <c r="G463">
        <v>0.01562549332795005</v>
      </c>
      <c r="H463">
        <v>0.04</v>
      </c>
      <c r="I463">
        <v>0.1110770049882792</v>
      </c>
      <c r="J463" t="s">
        <v>486</v>
      </c>
      <c r="K463" t="s">
        <v>773</v>
      </c>
      <c r="L463">
        <v>3.7</v>
      </c>
      <c r="M463">
        <v>1.15</v>
      </c>
      <c r="N463">
        <v>0.3108108108108107</v>
      </c>
      <c r="O463">
        <v>3</v>
      </c>
      <c r="P463">
        <v>0.04012620718096094</v>
      </c>
      <c r="Q463">
        <v>0.716415667177683</v>
      </c>
      <c r="R463" t="s">
        <v>777</v>
      </c>
      <c r="S463" t="s">
        <v>789</v>
      </c>
      <c r="T463">
        <v>1489.474638</v>
      </c>
      <c r="U463" s="2">
        <v>44413</v>
      </c>
      <c r="V463" t="s">
        <v>791</v>
      </c>
    </row>
    <row r="464" spans="1:22">
      <c r="A464" s="1" t="s">
        <v>484</v>
      </c>
      <c r="B464">
        <f>HYPERLINK("https://www.suredividend.com/sure-analysis-AVAL/","Grupo Aval Acciones y Valores S.A.")</f>
        <v>0</v>
      </c>
      <c r="C464">
        <v>5.95</v>
      </c>
      <c r="D464">
        <v>7.5</v>
      </c>
      <c r="E464">
        <v>0.7933333333333333</v>
      </c>
      <c r="F464">
        <v>0.04201680672268907</v>
      </c>
      <c r="G464">
        <v>0.04739105244953024</v>
      </c>
      <c r="H464">
        <v>0.03</v>
      </c>
      <c r="I464">
        <v>0.1107978700323393</v>
      </c>
      <c r="J464" t="s">
        <v>486</v>
      </c>
      <c r="K464" t="s">
        <v>378</v>
      </c>
      <c r="L464">
        <v>0.75</v>
      </c>
      <c r="M464">
        <v>0.25</v>
      </c>
      <c r="N464">
        <v>0.3333333333333333</v>
      </c>
      <c r="O464">
        <v>0</v>
      </c>
      <c r="P464">
        <v>0.03012896281839894</v>
      </c>
      <c r="Q464">
        <v>0.378888737943214</v>
      </c>
      <c r="R464" t="s">
        <v>776</v>
      </c>
      <c r="S464" t="s">
        <v>786</v>
      </c>
      <c r="T464">
        <v>2177.120007</v>
      </c>
      <c r="U464" s="2">
        <v>44464</v>
      </c>
      <c r="V464" t="s">
        <v>798</v>
      </c>
    </row>
    <row r="465" spans="1:22">
      <c r="A465" s="1" t="s">
        <v>485</v>
      </c>
      <c r="B465">
        <f>HYPERLINK("https://www.suredividend.com/sure-analysis-BHP/","BHP Group Limited")</f>
        <v>0</v>
      </c>
      <c r="C465">
        <v>58.01</v>
      </c>
      <c r="D465">
        <v>105</v>
      </c>
      <c r="E465">
        <v>0.5524761904761905</v>
      </c>
      <c r="F465">
        <v>0.06205826581623859</v>
      </c>
      <c r="G465">
        <v>0.125997138182768</v>
      </c>
      <c r="H465">
        <v>-0.05</v>
      </c>
      <c r="I465">
        <v>0.1106304979569379</v>
      </c>
      <c r="J465" t="s">
        <v>486</v>
      </c>
      <c r="K465" t="s">
        <v>773</v>
      </c>
      <c r="L465">
        <v>7.5</v>
      </c>
      <c r="M465">
        <v>3.6</v>
      </c>
      <c r="N465">
        <v>0.48</v>
      </c>
      <c r="O465">
        <v>0</v>
      </c>
      <c r="P465">
        <v>-0.02328131613882611</v>
      </c>
      <c r="Q465">
        <v>0.247842651991272</v>
      </c>
      <c r="R465" t="s">
        <v>776</v>
      </c>
      <c r="S465" t="s">
        <v>782</v>
      </c>
      <c r="T465">
        <v>84790.225064</v>
      </c>
      <c r="U465" s="2">
        <v>44447</v>
      </c>
      <c r="V465" t="s">
        <v>796</v>
      </c>
    </row>
    <row r="466" spans="1:22">
      <c r="A466" s="1" t="s">
        <v>486</v>
      </c>
      <c r="B466">
        <f>HYPERLINK("https://www.suredividend.com/sure-analysis-D/","Dominion Energy Inc")</f>
        <v>0</v>
      </c>
      <c r="C466">
        <v>71.95999999999999</v>
      </c>
      <c r="D466">
        <v>77</v>
      </c>
      <c r="E466">
        <v>0.9345454545454545</v>
      </c>
      <c r="F466">
        <v>0.03501945525291829</v>
      </c>
      <c r="G466">
        <v>0.01363106988006169</v>
      </c>
      <c r="H466">
        <v>0.065</v>
      </c>
      <c r="I466">
        <v>0.1086992850925339</v>
      </c>
      <c r="J466" t="s">
        <v>486</v>
      </c>
      <c r="K466" t="s">
        <v>486</v>
      </c>
      <c r="L466">
        <v>3.85</v>
      </c>
      <c r="M466">
        <v>2.52</v>
      </c>
      <c r="N466">
        <v>0.6545454545454545</v>
      </c>
      <c r="O466">
        <v>16</v>
      </c>
      <c r="P466">
        <v>0.05985358218414349</v>
      </c>
      <c r="Q466">
        <v>-0.07170477418043901</v>
      </c>
      <c r="R466" t="s">
        <v>776</v>
      </c>
      <c r="S466" t="s">
        <v>787</v>
      </c>
      <c r="T466">
        <v>59100.423384</v>
      </c>
      <c r="U466" s="2">
        <v>44425</v>
      </c>
      <c r="V466" t="s">
        <v>801</v>
      </c>
    </row>
    <row r="467" spans="1:22">
      <c r="A467" s="1" t="s">
        <v>487</v>
      </c>
      <c r="B467">
        <f>HYPERLINK("https://www.suredividend.com/sure-analysis-HAS/","Hasbro, Inc.")</f>
        <v>0</v>
      </c>
      <c r="C467">
        <v>92.62</v>
      </c>
      <c r="D467">
        <v>94</v>
      </c>
      <c r="E467">
        <v>0.9853191489361702</v>
      </c>
      <c r="F467">
        <v>0.029367307277046</v>
      </c>
      <c r="G467">
        <v>0.002962315253436154</v>
      </c>
      <c r="H467">
        <v>0.08</v>
      </c>
      <c r="I467">
        <v>0.106193048783924</v>
      </c>
      <c r="J467" t="s">
        <v>486</v>
      </c>
      <c r="K467" t="s">
        <v>486</v>
      </c>
      <c r="L467">
        <v>4.7</v>
      </c>
      <c r="M467">
        <v>2.72</v>
      </c>
      <c r="N467">
        <v>0.5787234042553192</v>
      </c>
      <c r="O467">
        <v>16</v>
      </c>
      <c r="P467">
        <v>0.03941506521508265</v>
      </c>
      <c r="Q467">
        <v>0.08675340793035001</v>
      </c>
      <c r="R467" t="s">
        <v>776</v>
      </c>
      <c r="S467" t="s">
        <v>788</v>
      </c>
      <c r="T467">
        <v>12731.553945</v>
      </c>
      <c r="U467" s="2">
        <v>44404</v>
      </c>
      <c r="V467" t="s">
        <v>795</v>
      </c>
    </row>
    <row r="468" spans="1:22">
      <c r="A468" s="1" t="s">
        <v>488</v>
      </c>
      <c r="B468">
        <f>HYPERLINK("https://www.suredividend.com/sure-analysis-DRI/","Darden Restaurants, Inc.")</f>
        <v>0</v>
      </c>
      <c r="C468">
        <v>148.8</v>
      </c>
      <c r="D468">
        <v>148</v>
      </c>
      <c r="E468">
        <v>1.005405405405406</v>
      </c>
      <c r="F468">
        <v>0.02956989247311828</v>
      </c>
      <c r="G468">
        <v>-0.001077588710825306</v>
      </c>
      <c r="H468">
        <v>0.08</v>
      </c>
      <c r="I468">
        <v>0.1051910961308768</v>
      </c>
      <c r="J468" t="s">
        <v>486</v>
      </c>
      <c r="K468" t="s">
        <v>486</v>
      </c>
      <c r="L468">
        <v>7.42</v>
      </c>
      <c r="M468">
        <v>4.4</v>
      </c>
      <c r="N468">
        <v>0.5929919137466307</v>
      </c>
      <c r="O468">
        <v>1</v>
      </c>
      <c r="P468">
        <v>0.08016554685867416</v>
      </c>
      <c r="Q468">
        <v>0.532003097902342</v>
      </c>
      <c r="R468" t="s">
        <v>776</v>
      </c>
      <c r="S468" t="s">
        <v>788</v>
      </c>
      <c r="T468">
        <v>19357.433197</v>
      </c>
      <c r="U468" s="2">
        <v>44464</v>
      </c>
      <c r="V468" t="s">
        <v>798</v>
      </c>
    </row>
    <row r="469" spans="1:22">
      <c r="A469" s="1" t="s">
        <v>489</v>
      </c>
      <c r="B469">
        <f>HYPERLINK("https://www.suredividend.com/sure-analysis-ERIC/","Telefonaktiebolaget L M Ericsson")</f>
        <v>0</v>
      </c>
      <c r="C469">
        <v>12.21</v>
      </c>
      <c r="D469">
        <v>12</v>
      </c>
      <c r="E469">
        <v>1.0175</v>
      </c>
      <c r="F469">
        <v>0.01965601965601966</v>
      </c>
      <c r="G469">
        <v>-0.003463715117860811</v>
      </c>
      <c r="H469">
        <v>0.09</v>
      </c>
      <c r="I469">
        <v>0.1049518365167512</v>
      </c>
      <c r="J469" t="s">
        <v>486</v>
      </c>
      <c r="K469" t="s">
        <v>486</v>
      </c>
      <c r="L469">
        <v>0.75</v>
      </c>
      <c r="M469">
        <v>0.24</v>
      </c>
      <c r="N469">
        <v>0.32</v>
      </c>
      <c r="O469">
        <v>2</v>
      </c>
      <c r="P469">
        <v>0.1075663432482901</v>
      </c>
      <c r="Q469">
        <v>0.160895547994166</v>
      </c>
      <c r="R469" t="s">
        <v>776</v>
      </c>
      <c r="S469" t="s">
        <v>784</v>
      </c>
      <c r="T469">
        <v>37421.780259</v>
      </c>
      <c r="U469" s="2">
        <v>44393</v>
      </c>
      <c r="V469" t="s">
        <v>796</v>
      </c>
    </row>
    <row r="470" spans="1:22">
      <c r="A470" s="1" t="s">
        <v>490</v>
      </c>
      <c r="B470">
        <f>HYPERLINK("https://www.suredividend.com/sure-analysis-ALV/","Autoliv Inc.")</f>
        <v>0</v>
      </c>
      <c r="C470">
        <v>94.81</v>
      </c>
      <c r="D470">
        <v>87</v>
      </c>
      <c r="E470">
        <v>1.089770114942529</v>
      </c>
      <c r="F470">
        <v>0.02615757831452378</v>
      </c>
      <c r="G470">
        <v>-0.0170463918066005</v>
      </c>
      <c r="H470">
        <v>0.1</v>
      </c>
      <c r="I470">
        <v>0.1032143936477492</v>
      </c>
      <c r="J470" t="s">
        <v>486</v>
      </c>
      <c r="K470" t="s">
        <v>486</v>
      </c>
      <c r="L470">
        <v>6.2</v>
      </c>
      <c r="M470">
        <v>2.48</v>
      </c>
      <c r="N470">
        <v>0.4</v>
      </c>
      <c r="O470">
        <v>0</v>
      </c>
      <c r="P470">
        <v>0.06007667938522787</v>
      </c>
      <c r="Q470">
        <v>0.179442846465146</v>
      </c>
      <c r="R470" t="s">
        <v>776</v>
      </c>
      <c r="S470" t="s">
        <v>788</v>
      </c>
      <c r="T470">
        <v>8461.168398</v>
      </c>
      <c r="U470" s="2">
        <v>44397</v>
      </c>
      <c r="V470" t="s">
        <v>795</v>
      </c>
    </row>
    <row r="471" spans="1:22">
      <c r="A471" s="1" t="s">
        <v>491</v>
      </c>
      <c r="B471">
        <f>HYPERLINK("https://www.suredividend.com/sure-analysis-HSBC/","HSBC Holdings plc")</f>
        <v>0</v>
      </c>
      <c r="C471">
        <v>29.66</v>
      </c>
      <c r="D471">
        <v>37</v>
      </c>
      <c r="E471">
        <v>0.8016216216216216</v>
      </c>
      <c r="F471">
        <v>0.0370869858395145</v>
      </c>
      <c r="G471">
        <v>0.04521615946310398</v>
      </c>
      <c r="H471">
        <v>0.03</v>
      </c>
      <c r="I471">
        <v>0.1028654522559183</v>
      </c>
      <c r="J471" t="s">
        <v>486</v>
      </c>
      <c r="K471" t="s">
        <v>378</v>
      </c>
      <c r="L471">
        <v>3.12</v>
      </c>
      <c r="M471">
        <v>1.1</v>
      </c>
      <c r="N471">
        <v>0.3525641025641026</v>
      </c>
      <c r="O471">
        <v>0</v>
      </c>
      <c r="P471">
        <v>0</v>
      </c>
      <c r="Q471">
        <v>0.5780328559393421</v>
      </c>
      <c r="R471" t="s">
        <v>776</v>
      </c>
      <c r="S471" t="s">
        <v>786</v>
      </c>
      <c r="T471">
        <v>122433.673061</v>
      </c>
      <c r="U471" s="2">
        <v>44417</v>
      </c>
      <c r="V471" t="s">
        <v>798</v>
      </c>
    </row>
    <row r="472" spans="1:22">
      <c r="A472" s="1" t="s">
        <v>492</v>
      </c>
      <c r="B472">
        <f>HYPERLINK("https://www.suredividend.com/sure-analysis-MFC/","Manulife Financial Corp.")</f>
        <v>0</v>
      </c>
      <c r="C472">
        <v>20.13</v>
      </c>
      <c r="D472">
        <v>19.95</v>
      </c>
      <c r="E472">
        <v>1.009022556390977</v>
      </c>
      <c r="F472">
        <v>0.04421261798310979</v>
      </c>
      <c r="G472">
        <v>-0.001794806667857918</v>
      </c>
      <c r="H472">
        <v>0.065</v>
      </c>
      <c r="I472">
        <v>0.1026664805256934</v>
      </c>
      <c r="J472" t="s">
        <v>486</v>
      </c>
      <c r="K472" t="s">
        <v>773</v>
      </c>
      <c r="L472">
        <v>2.66</v>
      </c>
      <c r="M472">
        <v>0.89</v>
      </c>
      <c r="N472">
        <v>0.3345864661654135</v>
      </c>
      <c r="O472">
        <v>6</v>
      </c>
      <c r="P472">
        <v>0.070296243794991</v>
      </c>
      <c r="Q472">
        <v>0.484991868602503</v>
      </c>
      <c r="R472" t="s">
        <v>776</v>
      </c>
      <c r="S472" t="s">
        <v>786</v>
      </c>
      <c r="T472">
        <v>39196.613475</v>
      </c>
      <c r="U472" s="2">
        <v>44418</v>
      </c>
      <c r="V472" t="s">
        <v>791</v>
      </c>
    </row>
    <row r="473" spans="1:22">
      <c r="A473" s="1" t="s">
        <v>493</v>
      </c>
      <c r="B473">
        <f>HYPERLINK("https://www.suredividend.com/sure-analysis-PHG/","Koninklijke Philips N.V.")</f>
        <v>0</v>
      </c>
      <c r="C473">
        <v>43.2</v>
      </c>
      <c r="D473">
        <v>40</v>
      </c>
      <c r="E473">
        <v>1.08</v>
      </c>
      <c r="F473">
        <v>0.02384259259259259</v>
      </c>
      <c r="G473">
        <v>-0.01527435364574092</v>
      </c>
      <c r="H473">
        <v>0.1</v>
      </c>
      <c r="I473">
        <v>0.102459363840572</v>
      </c>
      <c r="J473" t="s">
        <v>486</v>
      </c>
      <c r="K473" t="s">
        <v>486</v>
      </c>
      <c r="L473">
        <v>2.2</v>
      </c>
      <c r="M473">
        <v>1.03</v>
      </c>
      <c r="N473">
        <v>0.4681818181818181</v>
      </c>
      <c r="O473">
        <v>1</v>
      </c>
      <c r="P473">
        <v>0.04766208135176786</v>
      </c>
      <c r="Q473">
        <v>-0.07044550624951701</v>
      </c>
      <c r="R473" t="s">
        <v>776</v>
      </c>
      <c r="S473" t="s">
        <v>781</v>
      </c>
      <c r="T473">
        <v>40888.472048</v>
      </c>
      <c r="U473" s="2">
        <v>44432</v>
      </c>
      <c r="V473" t="s">
        <v>796</v>
      </c>
    </row>
    <row r="474" spans="1:22">
      <c r="A474" s="1" t="s">
        <v>494</v>
      </c>
      <c r="B474">
        <f>HYPERLINK("https://www.suredividend.com/sure-analysis-WASH/","Washington Trust Bancorp, Inc.")</f>
        <v>0</v>
      </c>
      <c r="C474">
        <v>54.49</v>
      </c>
      <c r="D474">
        <v>59</v>
      </c>
      <c r="E474">
        <v>0.9235593220338983</v>
      </c>
      <c r="F474">
        <v>0.03817214167737199</v>
      </c>
      <c r="G474">
        <v>0.01603119158313282</v>
      </c>
      <c r="H474">
        <v>0.05</v>
      </c>
      <c r="I474">
        <v>0.09899227072076711</v>
      </c>
      <c r="J474" t="s">
        <v>486</v>
      </c>
      <c r="K474" t="s">
        <v>378</v>
      </c>
      <c r="L474">
        <v>4.2</v>
      </c>
      <c r="M474">
        <v>2.08</v>
      </c>
      <c r="N474">
        <v>0.4952380952380953</v>
      </c>
      <c r="O474">
        <v>10</v>
      </c>
      <c r="P474">
        <v>0.04963065931551602</v>
      </c>
      <c r="Q474">
        <v>0.7144899321915931</v>
      </c>
      <c r="R474" t="s">
        <v>776</v>
      </c>
      <c r="S474" t="s">
        <v>786</v>
      </c>
      <c r="T474">
        <v>947.255356</v>
      </c>
      <c r="U474" s="2">
        <v>44399</v>
      </c>
      <c r="V474" t="s">
        <v>792</v>
      </c>
    </row>
    <row r="475" spans="1:22">
      <c r="A475" s="1" t="s">
        <v>495</v>
      </c>
      <c r="B475">
        <f>HYPERLINK("https://www.suredividend.com/sure-analysis-DD/","DuPont de Nemours Inc")</f>
        <v>0</v>
      </c>
      <c r="C475">
        <v>71.84999999999999</v>
      </c>
      <c r="D475">
        <v>77</v>
      </c>
      <c r="E475">
        <v>0.933116883116883</v>
      </c>
      <c r="F475">
        <v>0.01670146137787057</v>
      </c>
      <c r="G475">
        <v>0.0139412471926752</v>
      </c>
      <c r="H475">
        <v>0.07000000000000001</v>
      </c>
      <c r="I475">
        <v>0.0989775451019832</v>
      </c>
      <c r="J475" t="s">
        <v>486</v>
      </c>
      <c r="K475" t="s">
        <v>774</v>
      </c>
      <c r="L475">
        <v>4.25</v>
      </c>
      <c r="M475">
        <v>1.2</v>
      </c>
      <c r="N475">
        <v>0.2823529411764706</v>
      </c>
      <c r="O475">
        <v>0</v>
      </c>
      <c r="P475">
        <v>0.06054457313435013</v>
      </c>
      <c r="Q475">
        <v>0.232665375905642</v>
      </c>
      <c r="R475" t="s">
        <v>776</v>
      </c>
      <c r="S475" t="s">
        <v>782</v>
      </c>
      <c r="T475">
        <v>37696.695792</v>
      </c>
      <c r="U475" s="2">
        <v>44427</v>
      </c>
      <c r="V475" t="s">
        <v>795</v>
      </c>
    </row>
    <row r="476" spans="1:22">
      <c r="A476" s="1" t="s">
        <v>496</v>
      </c>
      <c r="B476">
        <f>HYPERLINK("https://www.suredividend.com/sure-analysis-TRST/","Trustco Bank Corp.")</f>
        <v>0</v>
      </c>
      <c r="C476">
        <v>32.5</v>
      </c>
      <c r="D476">
        <v>36</v>
      </c>
      <c r="E476">
        <v>0.9027777777777778</v>
      </c>
      <c r="F476">
        <v>0.04184615384615385</v>
      </c>
      <c r="G476">
        <v>0.02066642298936894</v>
      </c>
      <c r="H476">
        <v>0.045</v>
      </c>
      <c r="I476">
        <v>0.09801555837546783</v>
      </c>
      <c r="J476" t="s">
        <v>486</v>
      </c>
      <c r="K476" t="s">
        <v>378</v>
      </c>
      <c r="L476">
        <v>2.9</v>
      </c>
      <c r="M476">
        <v>1.36</v>
      </c>
      <c r="N476">
        <v>0.4689655172413794</v>
      </c>
      <c r="O476">
        <v>0</v>
      </c>
      <c r="P476">
        <v>0.0100884981090783</v>
      </c>
      <c r="Q476">
        <v>0.240028012910297</v>
      </c>
      <c r="R476" t="s">
        <v>776</v>
      </c>
      <c r="S476" t="s">
        <v>786</v>
      </c>
      <c r="T476">
        <v>627.651778</v>
      </c>
      <c r="U476" s="2">
        <v>44399</v>
      </c>
      <c r="V476" t="s">
        <v>793</v>
      </c>
    </row>
    <row r="477" spans="1:22">
      <c r="A477" s="1" t="s">
        <v>497</v>
      </c>
      <c r="B477">
        <f>HYPERLINK("https://www.suredividend.com/sure-analysis-IMBBY/","Imperial Brands Plc")</f>
        <v>0</v>
      </c>
      <c r="C477">
        <v>21.77</v>
      </c>
      <c r="D477">
        <v>22</v>
      </c>
      <c r="E477">
        <v>0.9895454545454545</v>
      </c>
      <c r="F477">
        <v>0.08451998162609095</v>
      </c>
      <c r="G477">
        <v>0.002104126195555223</v>
      </c>
      <c r="H477">
        <v>0.03</v>
      </c>
      <c r="I477">
        <v>0.09775214730294257</v>
      </c>
      <c r="J477" t="s">
        <v>486</v>
      </c>
      <c r="K477" t="s">
        <v>773</v>
      </c>
      <c r="L477">
        <v>3.46</v>
      </c>
      <c r="M477">
        <v>1.84</v>
      </c>
      <c r="N477">
        <v>0.5317919075144509</v>
      </c>
      <c r="O477">
        <v>0</v>
      </c>
      <c r="P477">
        <v>0</v>
      </c>
      <c r="Q477">
        <v>0.367649891569783</v>
      </c>
      <c r="R477" t="s">
        <v>776</v>
      </c>
      <c r="S477" t="s">
        <v>785</v>
      </c>
      <c r="T477">
        <v>20830.442303</v>
      </c>
      <c r="U477" s="2">
        <v>44335</v>
      </c>
      <c r="V477" t="s">
        <v>792</v>
      </c>
    </row>
    <row r="478" spans="1:22">
      <c r="A478" s="1" t="s">
        <v>498</v>
      </c>
      <c r="B478">
        <f>HYPERLINK("https://www.suredividend.com/sure-analysis-PETS/","Petmed Express, Inc.")</f>
        <v>0</v>
      </c>
      <c r="C478">
        <v>27.01</v>
      </c>
      <c r="D478">
        <v>24</v>
      </c>
      <c r="E478">
        <v>1.125416666666667</v>
      </c>
      <c r="F478">
        <v>0.04442798963346908</v>
      </c>
      <c r="G478">
        <v>-0.02335364959765573</v>
      </c>
      <c r="H478">
        <v>0.08</v>
      </c>
      <c r="I478">
        <v>0.0967359340659304</v>
      </c>
      <c r="J478" t="s">
        <v>486</v>
      </c>
      <c r="K478" t="s">
        <v>773</v>
      </c>
      <c r="L478">
        <v>1.33</v>
      </c>
      <c r="M478">
        <v>1.2</v>
      </c>
      <c r="N478">
        <v>0.9022556390977443</v>
      </c>
      <c r="O478">
        <v>13</v>
      </c>
      <c r="P478">
        <v>0.0796084730466029</v>
      </c>
      <c r="Q478">
        <v>-0.101841437576835</v>
      </c>
      <c r="R478" t="s">
        <v>776</v>
      </c>
      <c r="S478" t="s">
        <v>781</v>
      </c>
      <c r="T478">
        <v>558.9892</v>
      </c>
      <c r="U478" s="2">
        <v>44422</v>
      </c>
      <c r="V478" t="s">
        <v>798</v>
      </c>
    </row>
    <row r="479" spans="1:22">
      <c r="A479" s="1" t="s">
        <v>499</v>
      </c>
      <c r="B479">
        <f>HYPERLINK("https://www.suredividend.com/sure-analysis-SAFE/","Safehold Inc")</f>
        <v>0</v>
      </c>
      <c r="C479">
        <v>74.84</v>
      </c>
      <c r="D479">
        <v>65</v>
      </c>
      <c r="E479">
        <v>1.151384615384615</v>
      </c>
      <c r="F479">
        <v>0.008952431854623197</v>
      </c>
      <c r="G479">
        <v>-0.02779933105934906</v>
      </c>
      <c r="H479">
        <v>0.12</v>
      </c>
      <c r="I479">
        <v>0.09638887035004995</v>
      </c>
      <c r="J479" t="s">
        <v>486</v>
      </c>
      <c r="K479" t="s">
        <v>774</v>
      </c>
      <c r="L479">
        <v>1.48</v>
      </c>
      <c r="M479">
        <v>0.67</v>
      </c>
      <c r="N479">
        <v>0.4527027027027027</v>
      </c>
      <c r="O479">
        <v>3</v>
      </c>
      <c r="P479">
        <v>0.06080007397849596</v>
      </c>
      <c r="Q479">
        <v>0.147862558278467</v>
      </c>
      <c r="R479" t="s">
        <v>778</v>
      </c>
      <c r="S479" t="s">
        <v>790</v>
      </c>
      <c r="T479">
        <v>3978.880885</v>
      </c>
      <c r="U479" s="2">
        <v>44445</v>
      </c>
      <c r="V479" t="s">
        <v>800</v>
      </c>
    </row>
    <row r="480" spans="1:22">
      <c r="A480" s="1" t="s">
        <v>500</v>
      </c>
      <c r="B480">
        <f>HYPERLINK("https://www.suredividend.com/sure-analysis-XRX/","Xerox Holdings Corp")</f>
        <v>0</v>
      </c>
      <c r="C480">
        <v>20.11</v>
      </c>
      <c r="D480">
        <v>19</v>
      </c>
      <c r="E480">
        <v>1.058421052631579</v>
      </c>
      <c r="F480">
        <v>0.04972650422675286</v>
      </c>
      <c r="G480">
        <v>-0.01129141294954072</v>
      </c>
      <c r="H480">
        <v>0.07000000000000001</v>
      </c>
      <c r="I480">
        <v>0.09493456325242455</v>
      </c>
      <c r="J480" t="s">
        <v>486</v>
      </c>
      <c r="K480" t="s">
        <v>378</v>
      </c>
      <c r="L480">
        <v>1.85</v>
      </c>
      <c r="M480">
        <v>1</v>
      </c>
      <c r="N480">
        <v>0.5405405405405405</v>
      </c>
      <c r="O480">
        <v>0</v>
      </c>
      <c r="P480">
        <v>0</v>
      </c>
      <c r="Q480">
        <v>0.06766009698432801</v>
      </c>
      <c r="R480" t="s">
        <v>776</v>
      </c>
      <c r="S480" t="s">
        <v>784</v>
      </c>
      <c r="T480">
        <v>3662.523055</v>
      </c>
      <c r="U480" s="2">
        <v>44407</v>
      </c>
      <c r="V480" t="s">
        <v>795</v>
      </c>
    </row>
    <row r="481" spans="1:22">
      <c r="A481" s="1" t="s">
        <v>501</v>
      </c>
      <c r="B481">
        <f>HYPERLINK("https://www.suredividend.com/sure-analysis-WSBC/","Wesbanco, Inc.")</f>
        <v>0</v>
      </c>
      <c r="C481">
        <v>36.7</v>
      </c>
      <c r="D481">
        <v>41</v>
      </c>
      <c r="E481">
        <v>0.8951219512195122</v>
      </c>
      <c r="F481">
        <v>0.03596730245231607</v>
      </c>
      <c r="G481">
        <v>0.02240639787984411</v>
      </c>
      <c r="H481">
        <v>0.04</v>
      </c>
      <c r="I481">
        <v>0.09406407584802112</v>
      </c>
      <c r="J481" t="s">
        <v>486</v>
      </c>
      <c r="K481" t="s">
        <v>378</v>
      </c>
      <c r="L481">
        <v>3.45</v>
      </c>
      <c r="M481">
        <v>1.32</v>
      </c>
      <c r="N481">
        <v>0.3826086956521739</v>
      </c>
      <c r="O481">
        <v>10</v>
      </c>
      <c r="P481">
        <v>0.04941452284458392</v>
      </c>
      <c r="Q481">
        <v>0.6239075770630741</v>
      </c>
      <c r="R481" t="s">
        <v>776</v>
      </c>
      <c r="S481" t="s">
        <v>786</v>
      </c>
      <c r="T481">
        <v>2416.011755</v>
      </c>
      <c r="U481" s="2">
        <v>44411</v>
      </c>
      <c r="V481" t="s">
        <v>793</v>
      </c>
    </row>
    <row r="482" spans="1:22">
      <c r="A482" s="1" t="s">
        <v>502</v>
      </c>
      <c r="B482">
        <f>HYPERLINK("https://www.suredividend.com/sure-analysis-TFC/","Truist Financial Corporation")</f>
        <v>0</v>
      </c>
      <c r="C482">
        <v>61.76</v>
      </c>
      <c r="D482">
        <v>64</v>
      </c>
      <c r="E482">
        <v>0.965</v>
      </c>
      <c r="F482">
        <v>0.0310880829015544</v>
      </c>
      <c r="G482">
        <v>0.007150881847162616</v>
      </c>
      <c r="H482">
        <v>0.06</v>
      </c>
      <c r="I482">
        <v>0.09400670832151325</v>
      </c>
      <c r="J482" t="s">
        <v>486</v>
      </c>
      <c r="K482" t="s">
        <v>378</v>
      </c>
      <c r="L482">
        <v>4.9</v>
      </c>
      <c r="M482">
        <v>1.92</v>
      </c>
      <c r="N482">
        <v>0.3918367346938775</v>
      </c>
      <c r="O482">
        <v>10</v>
      </c>
      <c r="P482">
        <v>0.04996052445273014</v>
      </c>
      <c r="Q482">
        <v>0.52282877734277</v>
      </c>
      <c r="R482" t="s">
        <v>776</v>
      </c>
      <c r="S482" t="s">
        <v>786</v>
      </c>
      <c r="T482">
        <v>82492.802973</v>
      </c>
      <c r="U482" s="2">
        <v>44396</v>
      </c>
      <c r="V482" t="s">
        <v>793</v>
      </c>
    </row>
    <row r="483" spans="1:22">
      <c r="A483" s="1" t="s">
        <v>503</v>
      </c>
      <c r="B483">
        <f>HYPERLINK("https://www.suredividend.com/sure-analysis-ET/","Energy Transfer LP")</f>
        <v>0</v>
      </c>
      <c r="C483">
        <v>10.05</v>
      </c>
      <c r="D483">
        <v>11</v>
      </c>
      <c r="E483">
        <v>0.9136363636363637</v>
      </c>
      <c r="F483">
        <v>0.06069651741293532</v>
      </c>
      <c r="G483">
        <v>0.01822867818256024</v>
      </c>
      <c r="H483">
        <v>0.02</v>
      </c>
      <c r="I483">
        <v>0.09315401246095489</v>
      </c>
      <c r="J483" t="s">
        <v>486</v>
      </c>
      <c r="K483" t="s">
        <v>773</v>
      </c>
      <c r="L483">
        <v>2.1</v>
      </c>
      <c r="M483">
        <v>0.61</v>
      </c>
      <c r="N483">
        <v>0.2904761904761904</v>
      </c>
      <c r="O483">
        <v>0</v>
      </c>
      <c r="P483">
        <v>0.05039574430966676</v>
      </c>
      <c r="Q483">
        <v>0.804845440913443</v>
      </c>
      <c r="R483" t="s">
        <v>777</v>
      </c>
      <c r="S483" t="s">
        <v>789</v>
      </c>
      <c r="T483">
        <v>27021.650221</v>
      </c>
      <c r="U483" s="2">
        <v>44438</v>
      </c>
      <c r="V483" t="s">
        <v>796</v>
      </c>
    </row>
    <row r="484" spans="1:22">
      <c r="A484" s="1" t="s">
        <v>504</v>
      </c>
      <c r="B484">
        <f>HYPERLINK("https://www.suredividend.com/sure-analysis-NGG/","National Grid Plc")</f>
        <v>0</v>
      </c>
      <c r="C484">
        <v>61.92</v>
      </c>
      <c r="D484">
        <v>62</v>
      </c>
      <c r="E484">
        <v>0.9987096774193549</v>
      </c>
      <c r="F484">
        <v>0.05797803617571059</v>
      </c>
      <c r="G484">
        <v>0.0002582644972581871</v>
      </c>
      <c r="H484">
        <v>0.04</v>
      </c>
      <c r="I484">
        <v>0.09088998773148016</v>
      </c>
      <c r="J484" t="s">
        <v>486</v>
      </c>
      <c r="K484" t="s">
        <v>773</v>
      </c>
      <c r="L484">
        <v>4.16</v>
      </c>
      <c r="M484">
        <v>3.59</v>
      </c>
      <c r="N484">
        <v>0.8629807692307692</v>
      </c>
      <c r="O484">
        <v>0</v>
      </c>
      <c r="P484">
        <v>0.0401055114467892</v>
      </c>
      <c r="Q484">
        <v>0.063745295072343</v>
      </c>
      <c r="R484" t="s">
        <v>776</v>
      </c>
      <c r="S484" t="s">
        <v>787</v>
      </c>
      <c r="T484">
        <v>44568.379319</v>
      </c>
      <c r="U484" s="2">
        <v>44430</v>
      </c>
      <c r="V484" t="s">
        <v>799</v>
      </c>
    </row>
    <row r="485" spans="1:22">
      <c r="A485" s="1" t="s">
        <v>505</v>
      </c>
      <c r="B485">
        <f>HYPERLINK("https://www.suredividend.com/sure-analysis-PTR/","PetroChina Co. Ltd.")</f>
        <v>0</v>
      </c>
      <c r="C485">
        <v>52.05</v>
      </c>
      <c r="D485">
        <v>90</v>
      </c>
      <c r="E485">
        <v>0.5783333333333333</v>
      </c>
      <c r="F485">
        <v>0.06474543707973103</v>
      </c>
      <c r="G485">
        <v>0.1157434734691594</v>
      </c>
      <c r="H485">
        <v>-0.06</v>
      </c>
      <c r="I485">
        <v>0.09001176417269119</v>
      </c>
      <c r="J485" t="s">
        <v>486</v>
      </c>
      <c r="K485" t="s">
        <v>773</v>
      </c>
      <c r="L485">
        <v>7.5</v>
      </c>
      <c r="M485">
        <v>3.37</v>
      </c>
      <c r="N485">
        <v>0.4493333333333334</v>
      </c>
      <c r="O485">
        <v>0</v>
      </c>
      <c r="P485">
        <v>-0.06024767149116905</v>
      </c>
      <c r="Q485">
        <v>0.9699676867515681</v>
      </c>
      <c r="R485" t="s">
        <v>776</v>
      </c>
      <c r="S485" t="s">
        <v>789</v>
      </c>
      <c r="T485">
        <v>10933.44998</v>
      </c>
      <c r="U485" s="2">
        <v>44442</v>
      </c>
      <c r="V485" t="s">
        <v>796</v>
      </c>
    </row>
    <row r="486" spans="1:22">
      <c r="A486" s="1" t="s">
        <v>506</v>
      </c>
      <c r="B486">
        <f>HYPERLINK("https://www.suredividend.com/sure-analysis-NEM/","Newmont Corp")</f>
        <v>0</v>
      </c>
      <c r="C486">
        <v>56.38</v>
      </c>
      <c r="D486">
        <v>64</v>
      </c>
      <c r="E486">
        <v>0.8809375</v>
      </c>
      <c r="F486">
        <v>0.03902092940759135</v>
      </c>
      <c r="G486">
        <v>0.02567785866182426</v>
      </c>
      <c r="H486">
        <v>0.03</v>
      </c>
      <c r="I486">
        <v>0.08961788804782733</v>
      </c>
      <c r="J486" t="s">
        <v>486</v>
      </c>
      <c r="K486" t="s">
        <v>378</v>
      </c>
      <c r="L486">
        <v>3.55</v>
      </c>
      <c r="M486">
        <v>2.2</v>
      </c>
      <c r="N486">
        <v>0.619718309859155</v>
      </c>
      <c r="O486">
        <v>6</v>
      </c>
      <c r="P486">
        <v>0.04026125343417397</v>
      </c>
      <c r="Q486">
        <v>-0.05911738842795201</v>
      </c>
      <c r="R486" t="s">
        <v>776</v>
      </c>
      <c r="S486" t="s">
        <v>782</v>
      </c>
      <c r="T486">
        <v>45574.162795</v>
      </c>
      <c r="U486" s="2">
        <v>44424</v>
      </c>
      <c r="V486" t="s">
        <v>794</v>
      </c>
    </row>
    <row r="487" spans="1:22">
      <c r="A487" s="1" t="s">
        <v>507</v>
      </c>
      <c r="B487">
        <f>HYPERLINK("https://www.suredividend.com/sure-analysis-DOW/","Dow Inc")</f>
        <v>0</v>
      </c>
      <c r="C487">
        <v>58.95</v>
      </c>
      <c r="D487">
        <v>110</v>
      </c>
      <c r="E487">
        <v>0.5359090909090909</v>
      </c>
      <c r="F487">
        <v>0.04749787955894826</v>
      </c>
      <c r="G487">
        <v>0.1328744317149217</v>
      </c>
      <c r="H487">
        <v>-0.07000000000000001</v>
      </c>
      <c r="I487">
        <v>0.08957627030829229</v>
      </c>
      <c r="J487" t="s">
        <v>486</v>
      </c>
      <c r="K487" t="s">
        <v>773</v>
      </c>
      <c r="L487">
        <v>8.449999999999999</v>
      </c>
      <c r="M487">
        <v>2.8</v>
      </c>
      <c r="N487">
        <v>0.3313609467455622</v>
      </c>
      <c r="O487">
        <v>0</v>
      </c>
      <c r="P487">
        <v>0</v>
      </c>
      <c r="Q487">
        <v>0.234743711100128</v>
      </c>
      <c r="R487" t="s">
        <v>776</v>
      </c>
      <c r="S487" t="s">
        <v>782</v>
      </c>
      <c r="T487">
        <v>43970.70462</v>
      </c>
      <c r="U487" s="2">
        <v>44402</v>
      </c>
      <c r="V487" t="s">
        <v>795</v>
      </c>
    </row>
    <row r="488" spans="1:22">
      <c r="A488" s="1" t="s">
        <v>508</v>
      </c>
      <c r="B488">
        <f>HYPERLINK("https://www.suredividend.com/sure-analysis-OPI/","Office Properties Income Trust")</f>
        <v>0</v>
      </c>
      <c r="C488">
        <v>28.32</v>
      </c>
      <c r="D488">
        <v>28</v>
      </c>
      <c r="E488">
        <v>1.011428571428571</v>
      </c>
      <c r="F488">
        <v>0.07768361581920905</v>
      </c>
      <c r="G488">
        <v>-0.00227017098535065</v>
      </c>
      <c r="H488">
        <v>0.03</v>
      </c>
      <c r="I488">
        <v>0.08942827614419269</v>
      </c>
      <c r="J488" t="s">
        <v>486</v>
      </c>
      <c r="K488" t="s">
        <v>773</v>
      </c>
      <c r="L488">
        <v>4.7</v>
      </c>
      <c r="M488">
        <v>2.2</v>
      </c>
      <c r="N488">
        <v>0.4680851063829787</v>
      </c>
      <c r="O488">
        <v>0</v>
      </c>
      <c r="P488">
        <v>0</v>
      </c>
      <c r="Q488">
        <v>0.4622207672761851</v>
      </c>
      <c r="R488" t="s">
        <v>778</v>
      </c>
      <c r="S488" t="s">
        <v>790</v>
      </c>
      <c r="T488">
        <v>1360.128806</v>
      </c>
      <c r="U488" s="2">
        <v>44434</v>
      </c>
      <c r="V488" t="s">
        <v>796</v>
      </c>
    </row>
    <row r="489" spans="1:22">
      <c r="A489" s="1" t="s">
        <v>509</v>
      </c>
      <c r="B489">
        <f>HYPERLINK("https://www.suredividend.com/sure-analysis-FRFHF/","Fairfax Financial Holdings Ltd.")</f>
        <v>0</v>
      </c>
      <c r="C489">
        <v>414.97</v>
      </c>
      <c r="D489">
        <v>555</v>
      </c>
      <c r="E489">
        <v>0.7476936936936938</v>
      </c>
      <c r="F489">
        <v>0.02409812757548738</v>
      </c>
      <c r="G489">
        <v>0.05987648426592962</v>
      </c>
      <c r="H489">
        <v>0.01</v>
      </c>
      <c r="I489">
        <v>0.08822828099891278</v>
      </c>
      <c r="J489" t="s">
        <v>486</v>
      </c>
      <c r="K489" t="s">
        <v>486</v>
      </c>
      <c r="L489">
        <v>32</v>
      </c>
      <c r="M489">
        <v>10</v>
      </c>
      <c r="N489">
        <v>0.3125</v>
      </c>
      <c r="O489">
        <v>0</v>
      </c>
      <c r="P489">
        <v>0</v>
      </c>
      <c r="Q489">
        <v>0.4286960769427891</v>
      </c>
      <c r="R489" t="s">
        <v>776</v>
      </c>
      <c r="S489" t="s">
        <v>786</v>
      </c>
      <c r="T489">
        <v>11223.548103</v>
      </c>
      <c r="U489" s="2">
        <v>44428</v>
      </c>
      <c r="V489" t="s">
        <v>796</v>
      </c>
    </row>
    <row r="490" spans="1:22">
      <c r="A490" s="1" t="s">
        <v>510</v>
      </c>
      <c r="B490">
        <f>HYPERLINK("https://www.suredividend.com/sure-analysis-NYCB/","New York Community Bancorp Inc.")</f>
        <v>0</v>
      </c>
      <c r="C490">
        <v>13.95</v>
      </c>
      <c r="D490">
        <v>14</v>
      </c>
      <c r="E490">
        <v>0.9964285714285713</v>
      </c>
      <c r="F490">
        <v>0.04874551971326165</v>
      </c>
      <c r="G490">
        <v>0.0007158203467649837</v>
      </c>
      <c r="H490">
        <v>0.05</v>
      </c>
      <c r="I490">
        <v>0.08800339722505157</v>
      </c>
      <c r="J490" t="s">
        <v>486</v>
      </c>
      <c r="K490" t="s">
        <v>378</v>
      </c>
      <c r="L490">
        <v>1.25</v>
      </c>
      <c r="M490">
        <v>0.68</v>
      </c>
      <c r="N490">
        <v>0.544</v>
      </c>
      <c r="O490">
        <v>0</v>
      </c>
      <c r="P490">
        <v>0</v>
      </c>
      <c r="Q490">
        <v>0.7354149959903761</v>
      </c>
      <c r="R490" t="s">
        <v>776</v>
      </c>
      <c r="S490" t="s">
        <v>786</v>
      </c>
      <c r="T490">
        <v>6440.707216</v>
      </c>
      <c r="U490" s="2">
        <v>44409</v>
      </c>
      <c r="V490" t="s">
        <v>795</v>
      </c>
    </row>
    <row r="491" spans="1:22">
      <c r="A491" s="1" t="s">
        <v>511</v>
      </c>
      <c r="B491">
        <f>HYPERLINK("https://www.suredividend.com/sure-analysis-PGRE/","Paramount Group Inc")</f>
        <v>0</v>
      </c>
      <c r="C491">
        <v>9.31</v>
      </c>
      <c r="D491">
        <v>11</v>
      </c>
      <c r="E491">
        <v>0.8463636363636364</v>
      </c>
      <c r="F491">
        <v>0.03007518796992481</v>
      </c>
      <c r="G491">
        <v>0.03392396265889253</v>
      </c>
      <c r="H491">
        <v>0.03</v>
      </c>
      <c r="I491">
        <v>0.08781937848169741</v>
      </c>
      <c r="J491" t="s">
        <v>486</v>
      </c>
      <c r="K491" t="s">
        <v>486</v>
      </c>
      <c r="L491">
        <v>0.88</v>
      </c>
      <c r="M491">
        <v>0.28</v>
      </c>
      <c r="N491">
        <v>0.3181818181818182</v>
      </c>
      <c r="O491">
        <v>0</v>
      </c>
      <c r="P491">
        <v>0.007042949693310208</v>
      </c>
      <c r="Q491">
        <v>0.4277188633337921</v>
      </c>
      <c r="R491" t="s">
        <v>778</v>
      </c>
      <c r="S491" t="s">
        <v>790</v>
      </c>
      <c r="T491">
        <v>2042.90613</v>
      </c>
      <c r="U491" s="2">
        <v>44426</v>
      </c>
      <c r="V491" t="s">
        <v>793</v>
      </c>
    </row>
    <row r="492" spans="1:22">
      <c r="A492" s="1" t="s">
        <v>512</v>
      </c>
      <c r="B492">
        <f>HYPERLINK("https://www.suredividend.com/sure-analysis-RF/","Regions Financial Corp.")</f>
        <v>0</v>
      </c>
      <c r="C492">
        <v>22.57</v>
      </c>
      <c r="D492">
        <v>25</v>
      </c>
      <c r="E492">
        <v>0.9028</v>
      </c>
      <c r="F492">
        <v>0.03012848914488259</v>
      </c>
      <c r="G492">
        <v>0.02066139824426716</v>
      </c>
      <c r="H492">
        <v>0.04</v>
      </c>
      <c r="I492">
        <v>0.08773616741116119</v>
      </c>
      <c r="J492" t="s">
        <v>486</v>
      </c>
      <c r="K492" t="s">
        <v>486</v>
      </c>
      <c r="L492">
        <v>2.35</v>
      </c>
      <c r="M492">
        <v>0.68</v>
      </c>
      <c r="N492">
        <v>0.2893617021276596</v>
      </c>
      <c r="O492">
        <v>0</v>
      </c>
      <c r="P492">
        <v>0.0505145404837426</v>
      </c>
      <c r="Q492">
        <v>0.8576030874473071</v>
      </c>
      <c r="R492" t="s">
        <v>776</v>
      </c>
      <c r="S492" t="s">
        <v>786</v>
      </c>
      <c r="T492">
        <v>21410.316656</v>
      </c>
      <c r="U492" s="2">
        <v>44401</v>
      </c>
      <c r="V492" t="s">
        <v>794</v>
      </c>
    </row>
    <row r="493" spans="1:22">
      <c r="A493" s="1" t="s">
        <v>513</v>
      </c>
      <c r="B493">
        <f>HYPERLINK("https://www.suredividend.com/sure-analysis-BP/","BP plc")</f>
        <v>0</v>
      </c>
      <c r="C493">
        <v>29.71</v>
      </c>
      <c r="D493">
        <v>38</v>
      </c>
      <c r="E493">
        <v>0.7818421052631579</v>
      </c>
      <c r="F493">
        <v>0.04341972399865365</v>
      </c>
      <c r="G493">
        <v>0.0504519436104347</v>
      </c>
      <c r="H493">
        <v>0</v>
      </c>
      <c r="I493">
        <v>0.08690565115658266</v>
      </c>
      <c r="J493" t="s">
        <v>486</v>
      </c>
      <c r="K493" t="s">
        <v>378</v>
      </c>
      <c r="L493">
        <v>3.2</v>
      </c>
      <c r="M493">
        <v>1.29</v>
      </c>
      <c r="N493">
        <v>0.403125</v>
      </c>
      <c r="O493">
        <v>0</v>
      </c>
      <c r="P493">
        <v>0.03062413800126618</v>
      </c>
      <c r="Q493">
        <v>0.9511463718325651</v>
      </c>
      <c r="R493" t="s">
        <v>776</v>
      </c>
      <c r="S493" t="s">
        <v>789</v>
      </c>
      <c r="T493">
        <v>100043.804001</v>
      </c>
      <c r="U493" s="2">
        <v>44425</v>
      </c>
      <c r="V493" t="s">
        <v>796</v>
      </c>
    </row>
    <row r="494" spans="1:22">
      <c r="A494" s="1" t="s">
        <v>514</v>
      </c>
      <c r="B494">
        <f>HYPERLINK("https://www.suredividend.com/sure-analysis-ROST/","Ross Stores, Inc.")</f>
        <v>0</v>
      </c>
      <c r="C494">
        <v>109.5</v>
      </c>
      <c r="D494">
        <v>85</v>
      </c>
      <c r="E494">
        <v>1.288235294117647</v>
      </c>
      <c r="F494">
        <v>0.01041095890410959</v>
      </c>
      <c r="G494">
        <v>-0.04939310218469339</v>
      </c>
      <c r="H494">
        <v>0.13</v>
      </c>
      <c r="I494">
        <v>0.08600387678312238</v>
      </c>
      <c r="J494" t="s">
        <v>486</v>
      </c>
      <c r="K494" t="s">
        <v>774</v>
      </c>
      <c r="L494">
        <v>4.5</v>
      </c>
      <c r="M494">
        <v>1.14</v>
      </c>
      <c r="N494">
        <v>0.2533333333333333</v>
      </c>
      <c r="O494">
        <v>0</v>
      </c>
      <c r="P494">
        <v>0.1486983549970351</v>
      </c>
      <c r="Q494">
        <v>0.151079289043622</v>
      </c>
      <c r="R494" t="s">
        <v>776</v>
      </c>
      <c r="S494" t="s">
        <v>788</v>
      </c>
      <c r="T494">
        <v>38631.83362</v>
      </c>
      <c r="U494" s="2">
        <v>44431</v>
      </c>
      <c r="V494" t="s">
        <v>796</v>
      </c>
    </row>
    <row r="495" spans="1:22">
      <c r="A495" s="1" t="s">
        <v>515</v>
      </c>
      <c r="B495">
        <f>HYPERLINK("https://www.suredividend.com/sure-analysis-SU/","Suncor Energy, Inc.")</f>
        <v>0</v>
      </c>
      <c r="C495">
        <v>23.17</v>
      </c>
      <c r="D495">
        <v>23</v>
      </c>
      <c r="E495">
        <v>1.007391304347826</v>
      </c>
      <c r="F495">
        <v>0.0293482952093224</v>
      </c>
      <c r="G495">
        <v>-0.001471740429300761</v>
      </c>
      <c r="H495">
        <v>0.06</v>
      </c>
      <c r="I495">
        <v>0.08501680257923194</v>
      </c>
      <c r="J495" t="s">
        <v>486</v>
      </c>
      <c r="K495" t="s">
        <v>486</v>
      </c>
      <c r="L495">
        <v>1.8</v>
      </c>
      <c r="M495">
        <v>0.68</v>
      </c>
      <c r="N495">
        <v>0.3777777777777778</v>
      </c>
      <c r="O495">
        <v>0</v>
      </c>
      <c r="P495">
        <v>0.06000153927394081</v>
      </c>
      <c r="Q495">
        <v>1.047998606211072</v>
      </c>
      <c r="R495" t="s">
        <v>776</v>
      </c>
      <c r="S495" t="s">
        <v>789</v>
      </c>
      <c r="T495">
        <v>34864.217483</v>
      </c>
      <c r="U495" s="2">
        <v>44435</v>
      </c>
      <c r="V495" t="s">
        <v>796</v>
      </c>
    </row>
    <row r="496" spans="1:22">
      <c r="A496" s="1" t="s">
        <v>516</v>
      </c>
      <c r="B496">
        <f>HYPERLINK("https://www.suredividend.com/sure-analysis-FE/","Firstenergy Corp.")</f>
        <v>0</v>
      </c>
      <c r="C496">
        <v>36.17</v>
      </c>
      <c r="D496">
        <v>38</v>
      </c>
      <c r="E496">
        <v>0.9518421052631579</v>
      </c>
      <c r="F496">
        <v>0.0431296654686204</v>
      </c>
      <c r="G496">
        <v>0.009920103978553696</v>
      </c>
      <c r="H496">
        <v>0.04</v>
      </c>
      <c r="I496">
        <v>0.08453656602320558</v>
      </c>
      <c r="J496" t="s">
        <v>486</v>
      </c>
      <c r="K496" t="s">
        <v>378</v>
      </c>
      <c r="L496">
        <v>2.5</v>
      </c>
      <c r="M496">
        <v>1.56</v>
      </c>
      <c r="N496">
        <v>0.624</v>
      </c>
      <c r="O496">
        <v>3</v>
      </c>
      <c r="P496">
        <v>0.01005227214699711</v>
      </c>
      <c r="Q496">
        <v>0.210302443409602</v>
      </c>
      <c r="R496" t="s">
        <v>776</v>
      </c>
      <c r="S496" t="s">
        <v>787</v>
      </c>
      <c r="T496">
        <v>19928.370987</v>
      </c>
      <c r="U496" s="2">
        <v>44401</v>
      </c>
      <c r="V496" t="s">
        <v>791</v>
      </c>
    </row>
    <row r="497" spans="1:22">
      <c r="A497" s="1" t="s">
        <v>517</v>
      </c>
      <c r="B497">
        <f>HYPERLINK("https://www.suredividend.com/sure-analysis-NWL/","Newell Brands Inc")</f>
        <v>0</v>
      </c>
      <c r="C497">
        <v>22.64</v>
      </c>
      <c r="D497">
        <v>23</v>
      </c>
      <c r="E497">
        <v>0.9843478260869566</v>
      </c>
      <c r="F497">
        <v>0.04063604240282685</v>
      </c>
      <c r="G497">
        <v>0.003160175377997287</v>
      </c>
      <c r="H497">
        <v>0.05</v>
      </c>
      <c r="I497">
        <v>0.08443648804299331</v>
      </c>
      <c r="J497" t="s">
        <v>486</v>
      </c>
      <c r="K497" t="s">
        <v>378</v>
      </c>
      <c r="L497">
        <v>1.75</v>
      </c>
      <c r="M497">
        <v>0.92</v>
      </c>
      <c r="N497">
        <v>0.5257142857142857</v>
      </c>
      <c r="O497">
        <v>0</v>
      </c>
      <c r="P497">
        <v>0</v>
      </c>
      <c r="Q497">
        <v>0.287524294255441</v>
      </c>
      <c r="R497" t="s">
        <v>776</v>
      </c>
      <c r="S497" t="s">
        <v>785</v>
      </c>
      <c r="T497">
        <v>9609.786</v>
      </c>
      <c r="U497" s="2">
        <v>44421</v>
      </c>
      <c r="V497" t="s">
        <v>795</v>
      </c>
    </row>
    <row r="498" spans="1:22">
      <c r="A498" s="1" t="s">
        <v>518</v>
      </c>
      <c r="B498">
        <f>HYPERLINK("https://www.suredividend.com/sure-analysis-CAG/","Conagra Brands Inc")</f>
        <v>0</v>
      </c>
      <c r="C498">
        <v>33.15</v>
      </c>
      <c r="D498">
        <v>35</v>
      </c>
      <c r="E498">
        <v>0.9471428571428571</v>
      </c>
      <c r="F498">
        <v>0.03770739064856712</v>
      </c>
      <c r="G498">
        <v>0.01092026449589256</v>
      </c>
      <c r="H498">
        <v>0.04</v>
      </c>
      <c r="I498">
        <v>0.08402100819142944</v>
      </c>
      <c r="J498" t="s">
        <v>486</v>
      </c>
      <c r="K498" t="s">
        <v>378</v>
      </c>
      <c r="L498">
        <v>2.5</v>
      </c>
      <c r="M498">
        <v>1.25</v>
      </c>
      <c r="N498">
        <v>0.5</v>
      </c>
      <c r="O498">
        <v>2</v>
      </c>
      <c r="P498">
        <v>0.03988835529073098</v>
      </c>
      <c r="Q498">
        <v>-0.094101716711303</v>
      </c>
      <c r="R498" t="s">
        <v>776</v>
      </c>
      <c r="S498" t="s">
        <v>785</v>
      </c>
      <c r="T498">
        <v>15949.685218</v>
      </c>
      <c r="U498" s="2">
        <v>44476</v>
      </c>
      <c r="V498" t="s">
        <v>797</v>
      </c>
    </row>
    <row r="499" spans="1:22">
      <c r="A499" s="1" t="s">
        <v>519</v>
      </c>
      <c r="B499">
        <f>HYPERLINK("https://www.suredividend.com/sure-analysis-AMCR/","Amcor Plc")</f>
        <v>0</v>
      </c>
      <c r="C499">
        <v>11.91</v>
      </c>
      <c r="D499">
        <v>12</v>
      </c>
      <c r="E499">
        <v>0.9925</v>
      </c>
      <c r="F499">
        <v>0.03946263643996641</v>
      </c>
      <c r="G499">
        <v>0.001506787349162542</v>
      </c>
      <c r="H499">
        <v>0.05</v>
      </c>
      <c r="I499">
        <v>0.08384406288529167</v>
      </c>
      <c r="J499" t="s">
        <v>486</v>
      </c>
      <c r="K499" t="s">
        <v>378</v>
      </c>
      <c r="L499">
        <v>0.8</v>
      </c>
      <c r="M499">
        <v>0.47</v>
      </c>
      <c r="N499">
        <v>0.5874999999999999</v>
      </c>
      <c r="O499">
        <v>1</v>
      </c>
      <c r="P499">
        <v>0.0204250165236175</v>
      </c>
      <c r="Q499">
        <v>0.07091327842849</v>
      </c>
      <c r="R499" t="s">
        <v>776</v>
      </c>
      <c r="S499" t="s">
        <v>788</v>
      </c>
      <c r="T499">
        <v>18382.921514</v>
      </c>
      <c r="U499" s="2">
        <v>44445</v>
      </c>
      <c r="V499" t="s">
        <v>798</v>
      </c>
    </row>
    <row r="500" spans="1:22">
      <c r="A500" s="1" t="s">
        <v>520</v>
      </c>
      <c r="B500">
        <f>HYPERLINK("https://www.suredividend.com/sure-analysis-NRZ/","New Residential Investment Corp")</f>
        <v>0</v>
      </c>
      <c r="C500">
        <v>11.34</v>
      </c>
      <c r="D500">
        <v>11</v>
      </c>
      <c r="E500">
        <v>1.030909090909091</v>
      </c>
      <c r="F500">
        <v>0.07054673721340389</v>
      </c>
      <c r="G500">
        <v>-0.006069709533545908</v>
      </c>
      <c r="H500">
        <v>0.02</v>
      </c>
      <c r="I500">
        <v>0.08336692038372928</v>
      </c>
      <c r="J500" t="s">
        <v>486</v>
      </c>
      <c r="K500" t="s">
        <v>773</v>
      </c>
      <c r="L500">
        <v>1.4</v>
      </c>
      <c r="M500">
        <v>0.8</v>
      </c>
      <c r="N500">
        <v>0.5714285714285715</v>
      </c>
      <c r="O500">
        <v>1</v>
      </c>
      <c r="P500">
        <v>0.05988502997905321</v>
      </c>
      <c r="Q500">
        <v>0.505078976759027</v>
      </c>
      <c r="R500" t="s">
        <v>778</v>
      </c>
      <c r="S500" t="s">
        <v>790</v>
      </c>
      <c r="T500">
        <v>5281.684694</v>
      </c>
      <c r="U500" s="2">
        <v>44418</v>
      </c>
      <c r="V500" t="s">
        <v>794</v>
      </c>
    </row>
    <row r="501" spans="1:22">
      <c r="A501" s="1" t="s">
        <v>521</v>
      </c>
      <c r="B501">
        <f>HYPERLINK("https://www.suredividend.com/sure-analysis-SPG/","Simon Property Group, Inc.")</f>
        <v>0</v>
      </c>
      <c r="C501">
        <v>144.53</v>
      </c>
      <c r="D501">
        <v>140</v>
      </c>
      <c r="E501">
        <v>1.032357142857143</v>
      </c>
      <c r="F501">
        <v>0.04151387255241126</v>
      </c>
      <c r="G501">
        <v>-0.006348696491759176</v>
      </c>
      <c r="H501">
        <v>0.05</v>
      </c>
      <c r="I501">
        <v>0.08115240468091889</v>
      </c>
      <c r="J501" t="s">
        <v>486</v>
      </c>
      <c r="K501" t="s">
        <v>378</v>
      </c>
      <c r="L501">
        <v>10.75</v>
      </c>
      <c r="M501">
        <v>6</v>
      </c>
      <c r="N501">
        <v>0.5581395348837209</v>
      </c>
      <c r="O501">
        <v>0</v>
      </c>
      <c r="P501">
        <v>0.05006335758366887</v>
      </c>
      <c r="Q501">
        <v>1.271446066520226</v>
      </c>
      <c r="R501" t="s">
        <v>778</v>
      </c>
      <c r="S501" t="s">
        <v>790</v>
      </c>
      <c r="T501">
        <v>46077.857276</v>
      </c>
      <c r="U501" s="2">
        <v>44413</v>
      </c>
      <c r="V501" t="s">
        <v>791</v>
      </c>
    </row>
    <row r="502" spans="1:22">
      <c r="A502" s="1" t="s">
        <v>522</v>
      </c>
      <c r="B502">
        <f>HYPERLINK("https://www.suredividend.com/sure-analysis-MPW/","Medical Properties Trust Inc")</f>
        <v>0</v>
      </c>
      <c r="C502">
        <v>20.63</v>
      </c>
      <c r="D502">
        <v>22</v>
      </c>
      <c r="E502">
        <v>0.9377272727272726</v>
      </c>
      <c r="F502">
        <v>0.05428986912263695</v>
      </c>
      <c r="G502">
        <v>0.0129422606339229</v>
      </c>
      <c r="H502">
        <v>0.016</v>
      </c>
      <c r="I502">
        <v>0.0788206388433037</v>
      </c>
      <c r="J502" t="s">
        <v>486</v>
      </c>
      <c r="K502" t="s">
        <v>378</v>
      </c>
      <c r="L502">
        <v>1.74</v>
      </c>
      <c r="M502">
        <v>1.12</v>
      </c>
      <c r="N502">
        <v>0.6436781609195403</v>
      </c>
      <c r="O502">
        <v>9</v>
      </c>
      <c r="P502">
        <v>0.04111932758460823</v>
      </c>
      <c r="Q502">
        <v>0.217488841632977</v>
      </c>
      <c r="R502" t="s">
        <v>778</v>
      </c>
      <c r="S502" t="s">
        <v>790</v>
      </c>
      <c r="T502">
        <v>12414.388</v>
      </c>
      <c r="U502" s="2">
        <v>44415</v>
      </c>
      <c r="V502" t="s">
        <v>800</v>
      </c>
    </row>
    <row r="503" spans="1:22">
      <c r="A503" s="1" t="s">
        <v>523</v>
      </c>
      <c r="B503">
        <f>HYPERLINK("https://www.suredividend.com/sure-analysis-HASI/","Hannon Armstrong Sustainable Infrastructure capital Inc")</f>
        <v>0</v>
      </c>
      <c r="C503">
        <v>56.84</v>
      </c>
      <c r="D503">
        <v>50</v>
      </c>
      <c r="E503">
        <v>1.1368</v>
      </c>
      <c r="F503">
        <v>0.02463054187192118</v>
      </c>
      <c r="G503">
        <v>-0.02531745859321333</v>
      </c>
      <c r="H503">
        <v>0.08500000000000001</v>
      </c>
      <c r="I503">
        <v>0.07881531211592718</v>
      </c>
      <c r="J503" t="s">
        <v>486</v>
      </c>
      <c r="K503" t="s">
        <v>486</v>
      </c>
      <c r="L503">
        <v>1.68</v>
      </c>
      <c r="M503">
        <v>1.4</v>
      </c>
      <c r="N503">
        <v>0.8333333333333333</v>
      </c>
      <c r="O503">
        <v>3</v>
      </c>
      <c r="P503">
        <v>0.03959498820755258</v>
      </c>
      <c r="Q503">
        <v>0.314717911569247</v>
      </c>
      <c r="R503" t="s">
        <v>778</v>
      </c>
      <c r="S503" t="s">
        <v>790</v>
      </c>
      <c r="T503">
        <v>4594.388876</v>
      </c>
      <c r="U503" s="2">
        <v>44416</v>
      </c>
      <c r="V503" t="s">
        <v>791</v>
      </c>
    </row>
    <row r="504" spans="1:22">
      <c r="A504" s="1" t="s">
        <v>524</v>
      </c>
      <c r="B504">
        <f>HYPERLINK("https://www.suredividend.com/sure-analysis-CNP/","Centerpoint Energy Inc.")</f>
        <v>0</v>
      </c>
      <c r="C504">
        <v>26.19</v>
      </c>
      <c r="D504">
        <v>21.8</v>
      </c>
      <c r="E504">
        <v>1.201376146788991</v>
      </c>
      <c r="F504">
        <v>0.02596410843833524</v>
      </c>
      <c r="G504">
        <v>-0.03602848903090883</v>
      </c>
      <c r="H504">
        <v>0.08400000000000001</v>
      </c>
      <c r="I504">
        <v>0.07689935706993301</v>
      </c>
      <c r="J504" t="s">
        <v>486</v>
      </c>
      <c r="K504" t="s">
        <v>486</v>
      </c>
      <c r="L504">
        <v>1.36</v>
      </c>
      <c r="M504">
        <v>0.68</v>
      </c>
      <c r="N504">
        <v>0.5</v>
      </c>
      <c r="O504">
        <v>1</v>
      </c>
      <c r="P504">
        <v>0.1520571794673464</v>
      </c>
      <c r="Q504">
        <v>0.31665083404293</v>
      </c>
      <c r="R504" t="s">
        <v>776</v>
      </c>
      <c r="S504" t="s">
        <v>787</v>
      </c>
      <c r="T504">
        <v>15859.817585</v>
      </c>
      <c r="U504" s="2">
        <v>44421</v>
      </c>
      <c r="V504" t="s">
        <v>800</v>
      </c>
    </row>
    <row r="505" spans="1:22">
      <c r="A505" s="1" t="s">
        <v>525</v>
      </c>
      <c r="B505">
        <f>HYPERLINK("https://www.suredividend.com/sure-analysis-CNA/","CNA Financial Corp.")</f>
        <v>0</v>
      </c>
      <c r="C505">
        <v>44.91</v>
      </c>
      <c r="D505">
        <v>48</v>
      </c>
      <c r="E505">
        <v>0.9356249999999999</v>
      </c>
      <c r="F505">
        <v>0.03384546871520819</v>
      </c>
      <c r="G505">
        <v>0.01339705172167172</v>
      </c>
      <c r="H505">
        <v>0.03</v>
      </c>
      <c r="I505">
        <v>0.07325019229224217</v>
      </c>
      <c r="J505" t="s">
        <v>486</v>
      </c>
      <c r="K505" t="s">
        <v>378</v>
      </c>
      <c r="L505">
        <v>4</v>
      </c>
      <c r="M505">
        <v>1.52</v>
      </c>
      <c r="N505">
        <v>0.38</v>
      </c>
      <c r="O505">
        <v>5</v>
      </c>
      <c r="P505">
        <v>0.02975477857041309</v>
      </c>
      <c r="Q505">
        <v>0.580227469127198</v>
      </c>
      <c r="R505" t="s">
        <v>776</v>
      </c>
      <c r="S505" t="s">
        <v>786</v>
      </c>
      <c r="T505">
        <v>12305.836329</v>
      </c>
      <c r="U505" s="2">
        <v>44416</v>
      </c>
      <c r="V505" t="s">
        <v>797</v>
      </c>
    </row>
    <row r="506" spans="1:22">
      <c r="A506" s="1" t="s">
        <v>526</v>
      </c>
      <c r="B506">
        <f>HYPERLINK("https://www.suredividend.com/sure-analysis-STN/","Stantec Inc")</f>
        <v>0</v>
      </c>
      <c r="C506">
        <v>49.6</v>
      </c>
      <c r="D506">
        <v>40</v>
      </c>
      <c r="E506">
        <v>1.24</v>
      </c>
      <c r="F506">
        <v>0.01068548387096774</v>
      </c>
      <c r="G506">
        <v>-0.04210994805604396</v>
      </c>
      <c r="H506">
        <v>0.11</v>
      </c>
      <c r="I506">
        <v>0.07307306753259124</v>
      </c>
      <c r="J506" t="s">
        <v>486</v>
      </c>
      <c r="K506" t="s">
        <v>774</v>
      </c>
      <c r="L506">
        <v>1.6</v>
      </c>
      <c r="M506">
        <v>0.53</v>
      </c>
      <c r="N506">
        <v>0.33125</v>
      </c>
      <c r="O506">
        <v>3</v>
      </c>
      <c r="P506">
        <v>0.06022122873100355</v>
      </c>
      <c r="Q506">
        <v>0.635147877129842</v>
      </c>
      <c r="R506" t="s">
        <v>776</v>
      </c>
      <c r="S506" t="s">
        <v>783</v>
      </c>
      <c r="T506">
        <v>5468.740291</v>
      </c>
      <c r="U506" s="2">
        <v>44413</v>
      </c>
      <c r="V506" t="s">
        <v>791</v>
      </c>
    </row>
    <row r="507" spans="1:22">
      <c r="A507" s="1" t="s">
        <v>527</v>
      </c>
      <c r="B507">
        <f>HYPERLINK("https://www.suredividend.com/sure-analysis-RDS.B/","Royal Dutch Shell Plc")</f>
        <v>0</v>
      </c>
      <c r="C507">
        <v>48.88</v>
      </c>
      <c r="D507">
        <v>62</v>
      </c>
      <c r="E507">
        <v>0.7883870967741936</v>
      </c>
      <c r="F507">
        <v>0.03355155482815057</v>
      </c>
      <c r="G507">
        <v>0.04870200530311997</v>
      </c>
      <c r="H507">
        <v>-0.01</v>
      </c>
      <c r="I507">
        <v>0.0723903235467338</v>
      </c>
      <c r="J507" t="s">
        <v>486</v>
      </c>
      <c r="K507" t="s">
        <v>378</v>
      </c>
      <c r="L507">
        <v>5.2</v>
      </c>
      <c r="M507">
        <v>1.64</v>
      </c>
      <c r="N507">
        <v>0.3153846153846154</v>
      </c>
      <c r="O507">
        <v>0</v>
      </c>
      <c r="P507">
        <v>0.07912928578583145</v>
      </c>
      <c r="Q507">
        <v>1.111489022230037</v>
      </c>
      <c r="R507" t="s">
        <v>776</v>
      </c>
      <c r="S507" t="s">
        <v>789</v>
      </c>
      <c r="T507">
        <v>191113.403097</v>
      </c>
      <c r="U507" s="2">
        <v>44425</v>
      </c>
      <c r="V507" t="s">
        <v>796</v>
      </c>
    </row>
    <row r="508" spans="1:22">
      <c r="A508" s="1" t="s">
        <v>528</v>
      </c>
      <c r="B508">
        <f>HYPERLINK("https://www.suredividend.com/sure-analysis-CC/","Chemours Company")</f>
        <v>0</v>
      </c>
      <c r="C508">
        <v>30.64</v>
      </c>
      <c r="D508">
        <v>33</v>
      </c>
      <c r="E508">
        <v>0.9284848484848485</v>
      </c>
      <c r="F508">
        <v>0.03263707571801566</v>
      </c>
      <c r="G508">
        <v>0.0149509064747595</v>
      </c>
      <c r="H508">
        <v>0.03</v>
      </c>
      <c r="I508">
        <v>0.07139991697297488</v>
      </c>
      <c r="J508" t="s">
        <v>486</v>
      </c>
      <c r="K508" t="s">
        <v>378</v>
      </c>
      <c r="L508">
        <v>3.33</v>
      </c>
      <c r="M508">
        <v>1</v>
      </c>
      <c r="N508">
        <v>0.3003003003003003</v>
      </c>
      <c r="O508">
        <v>0</v>
      </c>
      <c r="P508">
        <v>0</v>
      </c>
      <c r="Q508">
        <v>0.38910124385045</v>
      </c>
      <c r="R508" t="s">
        <v>776</v>
      </c>
      <c r="S508" t="s">
        <v>782</v>
      </c>
      <c r="T508">
        <v>5101.906353</v>
      </c>
      <c r="U508" s="2">
        <v>44407</v>
      </c>
      <c r="V508" t="s">
        <v>792</v>
      </c>
    </row>
    <row r="509" spans="1:22">
      <c r="A509" s="1" t="s">
        <v>529</v>
      </c>
      <c r="B509">
        <f>HYPERLINK("https://www.suredividend.com/sure-analysis-INVH/","Invitation Homes Inc")</f>
        <v>0</v>
      </c>
      <c r="C509">
        <v>40.27</v>
      </c>
      <c r="D509">
        <v>34</v>
      </c>
      <c r="E509">
        <v>1.184411764705882</v>
      </c>
      <c r="F509">
        <v>0.01688601936925751</v>
      </c>
      <c r="G509">
        <v>-0.03328277377247157</v>
      </c>
      <c r="H509">
        <v>0.09</v>
      </c>
      <c r="I509">
        <v>0.07074714838708718</v>
      </c>
      <c r="J509" t="s">
        <v>486</v>
      </c>
      <c r="K509" t="s">
        <v>774</v>
      </c>
      <c r="L509">
        <v>1.24</v>
      </c>
      <c r="M509">
        <v>0.68</v>
      </c>
      <c r="N509">
        <v>0.5483870967741936</v>
      </c>
      <c r="O509">
        <v>4</v>
      </c>
      <c r="P509">
        <v>0.08447177119769855</v>
      </c>
      <c r="Q509">
        <v>0.46708729498021</v>
      </c>
      <c r="R509" t="s">
        <v>776</v>
      </c>
      <c r="S509" t="s">
        <v>790</v>
      </c>
      <c r="T509">
        <v>23163.181042</v>
      </c>
      <c r="U509" s="2">
        <v>44408</v>
      </c>
      <c r="V509" t="s">
        <v>791</v>
      </c>
    </row>
    <row r="510" spans="1:22">
      <c r="A510" s="1" t="s">
        <v>530</v>
      </c>
      <c r="B510">
        <f>HYPERLINK("https://www.suredividend.com/sure-analysis-PCAR/","Paccar Inc.")</f>
        <v>0</v>
      </c>
      <c r="C510">
        <v>85.78</v>
      </c>
      <c r="D510">
        <v>87</v>
      </c>
      <c r="E510">
        <v>0.9859770114942529</v>
      </c>
      <c r="F510">
        <v>0.02751224061552809</v>
      </c>
      <c r="G510">
        <v>0.002828440424171852</v>
      </c>
      <c r="H510">
        <v>0.04</v>
      </c>
      <c r="I510">
        <v>0.07073809903314432</v>
      </c>
      <c r="J510" t="s">
        <v>486</v>
      </c>
      <c r="K510" t="s">
        <v>486</v>
      </c>
      <c r="L510">
        <v>5.8</v>
      </c>
      <c r="M510">
        <v>2.36</v>
      </c>
      <c r="N510">
        <v>0.4068965517241379</v>
      </c>
      <c r="O510">
        <v>11</v>
      </c>
      <c r="P510">
        <v>0.0782743837389801</v>
      </c>
      <c r="Q510">
        <v>-0.011708451149575</v>
      </c>
      <c r="R510" t="s">
        <v>776</v>
      </c>
      <c r="S510" t="s">
        <v>783</v>
      </c>
      <c r="T510">
        <v>30165.896031</v>
      </c>
      <c r="U510" s="2">
        <v>44406</v>
      </c>
      <c r="V510" t="s">
        <v>797</v>
      </c>
    </row>
    <row r="511" spans="1:22">
      <c r="A511" s="1" t="s">
        <v>531</v>
      </c>
      <c r="B511">
        <f>HYPERLINK("https://www.suredividend.com/sure-analysis-NTR/","Nutrien Ltd")</f>
        <v>0</v>
      </c>
      <c r="C511">
        <v>71.42</v>
      </c>
      <c r="D511">
        <v>82</v>
      </c>
      <c r="E511">
        <v>0.8709756097560976</v>
      </c>
      <c r="F511">
        <v>0.02576309157098852</v>
      </c>
      <c r="G511">
        <v>0.0280134607063689</v>
      </c>
      <c r="H511">
        <v>0.02</v>
      </c>
      <c r="I511">
        <v>0.07027099699716111</v>
      </c>
      <c r="J511" t="s">
        <v>486</v>
      </c>
      <c r="K511" t="s">
        <v>486</v>
      </c>
      <c r="L511">
        <v>4.85</v>
      </c>
      <c r="M511">
        <v>1.84</v>
      </c>
      <c r="N511">
        <v>0.3793814432989691</v>
      </c>
      <c r="O511">
        <v>3</v>
      </c>
      <c r="P511">
        <v>0.01984845658885503</v>
      </c>
      <c r="Q511">
        <v>0.8302191690023961</v>
      </c>
      <c r="R511" t="s">
        <v>776</v>
      </c>
      <c r="S511" t="s">
        <v>782</v>
      </c>
      <c r="T511">
        <v>40684.528824</v>
      </c>
      <c r="U511" s="2">
        <v>44445</v>
      </c>
      <c r="V511" t="s">
        <v>798</v>
      </c>
    </row>
    <row r="512" spans="1:22">
      <c r="A512" s="1" t="s">
        <v>532</v>
      </c>
      <c r="B512">
        <f>HYPERLINK("https://www.suredividend.com/sure-analysis-MCY/","Mercury General Corp.")</f>
        <v>0</v>
      </c>
      <c r="C512">
        <v>54.44</v>
      </c>
      <c r="D512">
        <v>59</v>
      </c>
      <c r="E512">
        <v>0.9227118644067797</v>
      </c>
      <c r="F512">
        <v>0.04647318148420279</v>
      </c>
      <c r="G512">
        <v>0.01621775626548527</v>
      </c>
      <c r="H512">
        <v>0.015</v>
      </c>
      <c r="I512">
        <v>0.07009605230751714</v>
      </c>
      <c r="J512" t="s">
        <v>486</v>
      </c>
      <c r="K512" t="s">
        <v>773</v>
      </c>
      <c r="L512">
        <v>3.9</v>
      </c>
      <c r="M512">
        <v>2.53</v>
      </c>
      <c r="N512">
        <v>0.6487179487179486</v>
      </c>
      <c r="O512">
        <v>33</v>
      </c>
      <c r="P512">
        <v>0.004698719117097294</v>
      </c>
      <c r="Q512">
        <v>0.3977247164741951</v>
      </c>
      <c r="R512" t="s">
        <v>776</v>
      </c>
      <c r="S512" t="s">
        <v>786</v>
      </c>
      <c r="T512">
        <v>3062.004576</v>
      </c>
      <c r="U512" s="2">
        <v>44424</v>
      </c>
      <c r="V512" t="s">
        <v>794</v>
      </c>
    </row>
    <row r="513" spans="1:22">
      <c r="A513" s="1" t="s">
        <v>533</v>
      </c>
      <c r="B513">
        <f>HYPERLINK("https://www.suredividend.com/sure-analysis-HIW/","Highwoods Properties, Inc.")</f>
        <v>0</v>
      </c>
      <c r="C513">
        <v>46.33</v>
      </c>
      <c r="D513">
        <v>48</v>
      </c>
      <c r="E513">
        <v>0.9652083333333333</v>
      </c>
      <c r="F513">
        <v>0.04316857327865314</v>
      </c>
      <c r="G513">
        <v>0.007107400826327659</v>
      </c>
      <c r="H513">
        <v>0.025</v>
      </c>
      <c r="I513">
        <v>0.0698319455283869</v>
      </c>
      <c r="J513" t="s">
        <v>486</v>
      </c>
      <c r="K513" t="s">
        <v>378</v>
      </c>
      <c r="L513">
        <v>3.68</v>
      </c>
      <c r="M513">
        <v>2</v>
      </c>
      <c r="N513">
        <v>0.5434782608695652</v>
      </c>
      <c r="O513">
        <v>4</v>
      </c>
      <c r="P513">
        <v>0.02016978262061087</v>
      </c>
      <c r="Q513">
        <v>0.4679124739449471</v>
      </c>
      <c r="R513" t="s">
        <v>778</v>
      </c>
      <c r="S513" t="s">
        <v>790</v>
      </c>
      <c r="T513">
        <v>4843.794511</v>
      </c>
      <c r="U513" s="2">
        <v>44405</v>
      </c>
      <c r="V513" t="s">
        <v>793</v>
      </c>
    </row>
    <row r="514" spans="1:22">
      <c r="A514" s="1" t="s">
        <v>534</v>
      </c>
      <c r="B514">
        <f>HYPERLINK("https://www.suredividend.com/sure-analysis-JNPR/","Juniper Networks Inc")</f>
        <v>0</v>
      </c>
      <c r="C514">
        <v>28.41</v>
      </c>
      <c r="D514">
        <v>25</v>
      </c>
      <c r="E514">
        <v>1.1364</v>
      </c>
      <c r="F514">
        <v>0.02815909890883492</v>
      </c>
      <c r="G514">
        <v>-0.02524885279669997</v>
      </c>
      <c r="H514">
        <v>0.07000000000000001</v>
      </c>
      <c r="I514">
        <v>0.06922519489105117</v>
      </c>
      <c r="J514" t="s">
        <v>486</v>
      </c>
      <c r="K514" t="s">
        <v>486</v>
      </c>
      <c r="L514">
        <v>1.74</v>
      </c>
      <c r="M514">
        <v>0.8</v>
      </c>
      <c r="N514">
        <v>0.4597701149425288</v>
      </c>
      <c r="O514">
        <v>3</v>
      </c>
      <c r="P514">
        <v>0.04978904632428516</v>
      </c>
      <c r="Q514">
        <v>0.316425398725</v>
      </c>
      <c r="R514" t="s">
        <v>776</v>
      </c>
      <c r="S514" t="s">
        <v>784</v>
      </c>
      <c r="T514">
        <v>9299.342081000001</v>
      </c>
      <c r="U514" s="2">
        <v>44405</v>
      </c>
      <c r="V514" t="s">
        <v>793</v>
      </c>
    </row>
    <row r="515" spans="1:22">
      <c r="A515" s="1" t="s">
        <v>535</v>
      </c>
      <c r="B515">
        <f>HYPERLINK("https://www.suredividend.com/sure-analysis-WPP/","WPP Plc.")</f>
        <v>0</v>
      </c>
      <c r="C515">
        <v>67.59</v>
      </c>
      <c r="D515">
        <v>72</v>
      </c>
      <c r="E515">
        <v>0.9387500000000001</v>
      </c>
      <c r="F515">
        <v>0.02870247077970114</v>
      </c>
      <c r="G515">
        <v>0.01272145308645767</v>
      </c>
      <c r="H515">
        <v>0.03</v>
      </c>
      <c r="I515">
        <v>0.06908725942727378</v>
      </c>
      <c r="J515" t="s">
        <v>486</v>
      </c>
      <c r="K515" t="s">
        <v>486</v>
      </c>
      <c r="L515">
        <v>5.15</v>
      </c>
      <c r="M515">
        <v>1.94</v>
      </c>
      <c r="N515">
        <v>0.3766990291262136</v>
      </c>
      <c r="O515">
        <v>0</v>
      </c>
      <c r="P515">
        <v>0.03997297703182556</v>
      </c>
      <c r="Q515">
        <v>0.6512677474964651</v>
      </c>
      <c r="R515" t="s">
        <v>776</v>
      </c>
      <c r="S515" t="s">
        <v>780</v>
      </c>
      <c r="T515">
        <v>16093.444259</v>
      </c>
      <c r="U515" s="2">
        <v>44413</v>
      </c>
      <c r="V515" t="s">
        <v>795</v>
      </c>
    </row>
    <row r="516" spans="1:22">
      <c r="A516" s="1" t="s">
        <v>536</v>
      </c>
      <c r="B516">
        <f>HYPERLINK("https://www.suredividend.com/sure-analysis-RIO/","Rio Tinto plc")</f>
        <v>0</v>
      </c>
      <c r="C516">
        <v>70.18000000000001</v>
      </c>
      <c r="D516">
        <v>73</v>
      </c>
      <c r="E516">
        <v>0.9613698630136988</v>
      </c>
      <c r="F516">
        <v>0.07993730407523511</v>
      </c>
      <c r="G516">
        <v>0.007910336893953485</v>
      </c>
      <c r="H516">
        <v>0</v>
      </c>
      <c r="I516">
        <v>0.06711174705970979</v>
      </c>
      <c r="J516" t="s">
        <v>486</v>
      </c>
      <c r="K516" t="s">
        <v>773</v>
      </c>
      <c r="L516">
        <v>16.5</v>
      </c>
      <c r="M516">
        <v>5.61</v>
      </c>
      <c r="N516">
        <v>0.34</v>
      </c>
      <c r="O516">
        <v>5</v>
      </c>
      <c r="P516">
        <v>-0.05003988006497606</v>
      </c>
      <c r="Q516">
        <v>0.269590046615928</v>
      </c>
      <c r="R516" t="s">
        <v>776</v>
      </c>
      <c r="S516" t="s">
        <v>782</v>
      </c>
      <c r="T516">
        <v>114807.940746</v>
      </c>
      <c r="U516" s="2">
        <v>44439</v>
      </c>
      <c r="V516" t="s">
        <v>796</v>
      </c>
    </row>
    <row r="517" spans="1:22">
      <c r="A517" s="1" t="s">
        <v>537</v>
      </c>
      <c r="B517">
        <f>HYPERLINK("https://www.suredividend.com/sure-analysis-DEI/","Douglas Emmett Inc")</f>
        <v>0</v>
      </c>
      <c r="C517">
        <v>33.22</v>
      </c>
      <c r="D517">
        <v>28</v>
      </c>
      <c r="E517">
        <v>1.186428571428571</v>
      </c>
      <c r="F517">
        <v>0.03371462974111981</v>
      </c>
      <c r="G517">
        <v>-0.03361166147882921</v>
      </c>
      <c r="H517">
        <v>0.07000000000000001</v>
      </c>
      <c r="I517">
        <v>0.06711079433638267</v>
      </c>
      <c r="J517" t="s">
        <v>486</v>
      </c>
      <c r="K517" t="s">
        <v>486</v>
      </c>
      <c r="L517">
        <v>1.81</v>
      </c>
      <c r="M517">
        <v>1.12</v>
      </c>
      <c r="N517">
        <v>0.6187845303867404</v>
      </c>
      <c r="O517">
        <v>10</v>
      </c>
      <c r="P517">
        <v>0.06016789231717423</v>
      </c>
      <c r="Q517">
        <v>0.433652064654896</v>
      </c>
      <c r="R517" t="s">
        <v>778</v>
      </c>
      <c r="S517" t="s">
        <v>790</v>
      </c>
      <c r="T517">
        <v>5906.403408</v>
      </c>
      <c r="U517" s="2">
        <v>44474</v>
      </c>
      <c r="V517" t="s">
        <v>796</v>
      </c>
    </row>
    <row r="518" spans="1:22">
      <c r="A518" s="1" t="s">
        <v>538</v>
      </c>
      <c r="B518">
        <f>HYPERLINK("https://www.suredividend.com/sure-analysis-AVGO/","Broadcom Inc")</f>
        <v>0</v>
      </c>
      <c r="C518">
        <v>503.36</v>
      </c>
      <c r="D518">
        <v>420</v>
      </c>
      <c r="E518">
        <v>1.19847619047619</v>
      </c>
      <c r="F518">
        <v>0.02860775588048315</v>
      </c>
      <c r="G518">
        <v>-0.03556243496584222</v>
      </c>
      <c r="H518">
        <v>0.075</v>
      </c>
      <c r="I518">
        <v>0.06640448758737216</v>
      </c>
      <c r="J518" t="s">
        <v>486</v>
      </c>
      <c r="K518" t="s">
        <v>486</v>
      </c>
      <c r="L518">
        <v>28</v>
      </c>
      <c r="M518">
        <v>14.4</v>
      </c>
      <c r="N518">
        <v>0.5142857142857143</v>
      </c>
      <c r="O518">
        <v>10</v>
      </c>
      <c r="P518">
        <v>0.08001710619661218</v>
      </c>
      <c r="Q518">
        <v>0.371417826660416</v>
      </c>
      <c r="R518" t="s">
        <v>776</v>
      </c>
      <c r="S518" t="s">
        <v>784</v>
      </c>
      <c r="T518">
        <v>207145.896936</v>
      </c>
      <c r="U518" s="2">
        <v>44453</v>
      </c>
      <c r="V518" t="s">
        <v>794</v>
      </c>
    </row>
    <row r="519" spans="1:22">
      <c r="A519" s="1" t="s">
        <v>539</v>
      </c>
      <c r="B519">
        <f>HYPERLINK("https://www.suredividend.com/sure-analysis-BBD/","Banco Bradesco S.A.")</f>
        <v>0</v>
      </c>
      <c r="C519">
        <v>3.92</v>
      </c>
      <c r="D519">
        <v>4.2</v>
      </c>
      <c r="E519">
        <v>0.9333333333333332</v>
      </c>
      <c r="F519">
        <v>0.06122448979591837</v>
      </c>
      <c r="G519">
        <v>0.01389421401466451</v>
      </c>
      <c r="H519">
        <v>0</v>
      </c>
      <c r="I519">
        <v>0.06615792276436649</v>
      </c>
      <c r="J519" t="s">
        <v>486</v>
      </c>
      <c r="K519" t="s">
        <v>773</v>
      </c>
      <c r="L519">
        <v>0.52</v>
      </c>
      <c r="M519">
        <v>0.24</v>
      </c>
      <c r="N519">
        <v>0.4615384615384615</v>
      </c>
      <c r="O519">
        <v>0</v>
      </c>
      <c r="P519">
        <v>0</v>
      </c>
      <c r="Q519">
        <v>0.255458515283842</v>
      </c>
      <c r="R519" t="s">
        <v>776</v>
      </c>
      <c r="S519" t="s">
        <v>786</v>
      </c>
      <c r="T519">
        <v>35566.311503</v>
      </c>
      <c r="U519" s="2">
        <v>44413</v>
      </c>
      <c r="V519" t="s">
        <v>791</v>
      </c>
    </row>
    <row r="520" spans="1:22">
      <c r="A520" s="1" t="s">
        <v>540</v>
      </c>
      <c r="B520">
        <f>HYPERLINK("https://www.suredividend.com/sure-analysis-SBS/","Companhia de Saneamento Basico do Estado de Sao Paulo.")</f>
        <v>0</v>
      </c>
      <c r="C520">
        <v>7.07</v>
      </c>
      <c r="D520">
        <v>6.63</v>
      </c>
      <c r="E520">
        <v>1.066365007541478</v>
      </c>
      <c r="F520">
        <v>0.03111739745403112</v>
      </c>
      <c r="G520">
        <v>-0.01276891190245566</v>
      </c>
      <c r="H520">
        <v>0.05</v>
      </c>
      <c r="I520">
        <v>0.06608520259974826</v>
      </c>
      <c r="J520" t="s">
        <v>486</v>
      </c>
      <c r="K520" t="s">
        <v>378</v>
      </c>
      <c r="L520">
        <v>0.78</v>
      </c>
      <c r="M520">
        <v>0.22</v>
      </c>
      <c r="N520">
        <v>0.282051282051282</v>
      </c>
      <c r="O520">
        <v>0</v>
      </c>
      <c r="P520">
        <v>0.04941452284458392</v>
      </c>
      <c r="Q520">
        <v>-0.093319863619143</v>
      </c>
      <c r="R520" t="s">
        <v>776</v>
      </c>
      <c r="S520" t="s">
        <v>787</v>
      </c>
      <c r="T520">
        <v>4907.600859</v>
      </c>
      <c r="U520" s="2">
        <v>44422</v>
      </c>
      <c r="V520" t="s">
        <v>791</v>
      </c>
    </row>
    <row r="521" spans="1:22">
      <c r="A521" s="1" t="s">
        <v>541</v>
      </c>
      <c r="B521">
        <f>HYPERLINK("https://www.suredividend.com/sure-analysis-PDM/","Piedmont Office Realty Trust Inc")</f>
        <v>0</v>
      </c>
      <c r="C521">
        <v>18.52</v>
      </c>
      <c r="D521">
        <v>19</v>
      </c>
      <c r="E521">
        <v>0.9747368421052631</v>
      </c>
      <c r="F521">
        <v>0.04535637149028077</v>
      </c>
      <c r="G521">
        <v>0.005130667014761503</v>
      </c>
      <c r="H521">
        <v>0.022</v>
      </c>
      <c r="I521">
        <v>0.06608282618542805</v>
      </c>
      <c r="J521" t="s">
        <v>486</v>
      </c>
      <c r="K521" t="s">
        <v>378</v>
      </c>
      <c r="L521">
        <v>1.93</v>
      </c>
      <c r="M521">
        <v>0.84</v>
      </c>
      <c r="N521">
        <v>0.4352331606217616</v>
      </c>
      <c r="O521">
        <v>0</v>
      </c>
      <c r="P521">
        <v>0.009347419909568888</v>
      </c>
      <c r="Q521">
        <v>0.4497420150314531</v>
      </c>
      <c r="R521" t="s">
        <v>778</v>
      </c>
      <c r="S521" t="s">
        <v>790</v>
      </c>
      <c r="T521">
        <v>2291.539982</v>
      </c>
      <c r="U521" s="2">
        <v>44425</v>
      </c>
      <c r="V521" t="s">
        <v>793</v>
      </c>
    </row>
    <row r="522" spans="1:22">
      <c r="A522" s="1" t="s">
        <v>542</v>
      </c>
      <c r="B522">
        <f>HYPERLINK("https://www.suredividend.com/sure-analysis-EMRAF/","Emera, Inc.")</f>
        <v>0</v>
      </c>
      <c r="C522">
        <v>47.5667</v>
      </c>
      <c r="D522">
        <v>41</v>
      </c>
      <c r="E522">
        <v>1.160163414634146</v>
      </c>
      <c r="F522">
        <v>0.04204622141119733</v>
      </c>
      <c r="G522">
        <v>-0.0292751067706869</v>
      </c>
      <c r="H522">
        <v>0.055</v>
      </c>
      <c r="I522">
        <v>0.06392379832073014</v>
      </c>
      <c r="J522" t="s">
        <v>486</v>
      </c>
      <c r="K522" t="s">
        <v>773</v>
      </c>
      <c r="L522">
        <v>2.22</v>
      </c>
      <c r="M522">
        <v>2</v>
      </c>
      <c r="N522">
        <v>0.9009009009009008</v>
      </c>
      <c r="O522">
        <v>13</v>
      </c>
      <c r="P522">
        <v>0.03971726473271953</v>
      </c>
      <c r="Q522">
        <v>0.108408944071462</v>
      </c>
      <c r="R522" t="s">
        <v>776</v>
      </c>
      <c r="S522" t="s">
        <v>787</v>
      </c>
      <c r="T522">
        <v>12223.334733</v>
      </c>
      <c r="U522" s="2">
        <v>44466</v>
      </c>
      <c r="V522" t="s">
        <v>793</v>
      </c>
    </row>
    <row r="523" spans="1:22">
      <c r="A523" s="1" t="s">
        <v>543</v>
      </c>
      <c r="B523">
        <f>HYPERLINK("https://www.suredividend.com/sure-analysis-WMB/","Williams Cos Inc")</f>
        <v>0</v>
      </c>
      <c r="C523">
        <v>29.29</v>
      </c>
      <c r="D523">
        <v>24</v>
      </c>
      <c r="E523">
        <v>1.220416666666667</v>
      </c>
      <c r="F523">
        <v>0.05599180607715944</v>
      </c>
      <c r="G523">
        <v>-0.03905534824518497</v>
      </c>
      <c r="H523">
        <v>0.05</v>
      </c>
      <c r="I523">
        <v>0.06368233596340622</v>
      </c>
      <c r="J523" t="s">
        <v>486</v>
      </c>
      <c r="K523" t="s">
        <v>773</v>
      </c>
      <c r="L523">
        <v>3.15</v>
      </c>
      <c r="M523">
        <v>1.64</v>
      </c>
      <c r="N523">
        <v>0.5206349206349207</v>
      </c>
      <c r="O523">
        <v>4</v>
      </c>
      <c r="P523">
        <v>0.04048836820440749</v>
      </c>
      <c r="Q523">
        <v>0.638671539242162</v>
      </c>
      <c r="R523" t="s">
        <v>776</v>
      </c>
      <c r="S523" t="s">
        <v>789</v>
      </c>
      <c r="T523">
        <v>35902.033397</v>
      </c>
      <c r="U523" s="2">
        <v>44427</v>
      </c>
      <c r="V523" t="s">
        <v>796</v>
      </c>
    </row>
    <row r="524" spans="1:22">
      <c r="A524" s="1" t="s">
        <v>544</v>
      </c>
      <c r="B524">
        <f>HYPERLINK("https://www.suredividend.com/sure-analysis-GEL/","Genesis Energy L.P.")</f>
        <v>0</v>
      </c>
      <c r="C524">
        <v>11.16</v>
      </c>
      <c r="D524">
        <v>10</v>
      </c>
      <c r="E524">
        <v>1.116</v>
      </c>
      <c r="F524">
        <v>0.05376344086021505</v>
      </c>
      <c r="G524">
        <v>-0.02171102075456832</v>
      </c>
      <c r="H524">
        <v>0.04</v>
      </c>
      <c r="I524">
        <v>0.0632720582422861</v>
      </c>
      <c r="J524" t="s">
        <v>486</v>
      </c>
      <c r="K524" t="s">
        <v>773</v>
      </c>
      <c r="L524">
        <v>2</v>
      </c>
      <c r="M524">
        <v>0.6</v>
      </c>
      <c r="N524">
        <v>0.3</v>
      </c>
      <c r="O524">
        <v>0</v>
      </c>
      <c r="P524">
        <v>0</v>
      </c>
      <c r="Q524">
        <v>1.692772765324156</v>
      </c>
      <c r="R524" t="s">
        <v>777</v>
      </c>
      <c r="S524" t="s">
        <v>789</v>
      </c>
      <c r="T524">
        <v>1419.004179</v>
      </c>
      <c r="U524" s="2">
        <v>44434</v>
      </c>
      <c r="V524" t="s">
        <v>796</v>
      </c>
    </row>
    <row r="525" spans="1:22">
      <c r="A525" s="1" t="s">
        <v>545</v>
      </c>
      <c r="B525">
        <f>HYPERLINK("https://www.suredividend.com/sure-analysis-SMFG/","Sumitomo Mitsui Financial Group Inc")</f>
        <v>0</v>
      </c>
      <c r="C525">
        <v>6.83</v>
      </c>
      <c r="D525">
        <v>7.15</v>
      </c>
      <c r="E525">
        <v>0.9552447552447552</v>
      </c>
      <c r="F525">
        <v>0.04978038067349927</v>
      </c>
      <c r="G525">
        <v>0.009199595149286033</v>
      </c>
      <c r="H525">
        <v>0.01</v>
      </c>
      <c r="I525">
        <v>0.06309421751857003</v>
      </c>
      <c r="J525" t="s">
        <v>486</v>
      </c>
      <c r="K525" t="s">
        <v>378</v>
      </c>
      <c r="L525">
        <v>0.65</v>
      </c>
      <c r="M525">
        <v>0.34</v>
      </c>
      <c r="N525">
        <v>0.5230769230769231</v>
      </c>
      <c r="O525">
        <v>0</v>
      </c>
      <c r="P525">
        <v>0.01149727415513624</v>
      </c>
      <c r="Q525">
        <v>0.245738739392181</v>
      </c>
      <c r="R525" t="s">
        <v>776</v>
      </c>
      <c r="S525" t="s">
        <v>786</v>
      </c>
      <c r="T525">
        <v>47209.338204</v>
      </c>
      <c r="U525" s="2">
        <v>44429</v>
      </c>
      <c r="V525" t="s">
        <v>795</v>
      </c>
    </row>
    <row r="526" spans="1:22">
      <c r="A526" s="1" t="s">
        <v>546</v>
      </c>
      <c r="B526">
        <f>HYPERLINK("https://www.suredividend.com/sure-analysis-LMRK/","Landmark Infrastructure Partners LP")</f>
        <v>0</v>
      </c>
      <c r="C526">
        <v>16.44</v>
      </c>
      <c r="D526">
        <v>16.2</v>
      </c>
      <c r="E526">
        <v>1.014814814814815</v>
      </c>
      <c r="F526">
        <v>0.048661800486618</v>
      </c>
      <c r="G526">
        <v>-0.002936908300081531</v>
      </c>
      <c r="H526">
        <v>0.021</v>
      </c>
      <c r="I526">
        <v>0.06257782261241096</v>
      </c>
      <c r="J526" t="s">
        <v>486</v>
      </c>
      <c r="K526" t="s">
        <v>378</v>
      </c>
      <c r="L526">
        <v>1.47</v>
      </c>
      <c r="M526">
        <v>0.8</v>
      </c>
      <c r="N526">
        <v>0.54421768707483</v>
      </c>
      <c r="O526">
        <v>0</v>
      </c>
      <c r="P526">
        <v>0.02383625553960966</v>
      </c>
      <c r="Q526">
        <v>0.617618013035749</v>
      </c>
      <c r="R526" t="s">
        <v>777</v>
      </c>
      <c r="S526" t="s">
        <v>790</v>
      </c>
      <c r="T526">
        <v>417.509689</v>
      </c>
      <c r="U526" s="2">
        <v>44421</v>
      </c>
      <c r="V526" t="s">
        <v>800</v>
      </c>
    </row>
    <row r="527" spans="1:22">
      <c r="A527" s="1" t="s">
        <v>547</v>
      </c>
      <c r="B527">
        <f>HYPERLINK("https://www.suredividend.com/sure-analysis-HMC/","Honda Motor")</f>
        <v>0</v>
      </c>
      <c r="C527">
        <v>30.71</v>
      </c>
      <c r="D527">
        <v>31</v>
      </c>
      <c r="E527">
        <v>0.9906451612903227</v>
      </c>
      <c r="F527">
        <v>0.03386519049169651</v>
      </c>
      <c r="G527">
        <v>0.001881541889207305</v>
      </c>
      <c r="H527">
        <v>0.029</v>
      </c>
      <c r="I527">
        <v>0.06173438395975861</v>
      </c>
      <c r="J527" t="s">
        <v>486</v>
      </c>
      <c r="K527" t="s">
        <v>378</v>
      </c>
      <c r="L527">
        <v>3.68</v>
      </c>
      <c r="M527">
        <v>1.04</v>
      </c>
      <c r="N527">
        <v>0.2826086956521739</v>
      </c>
      <c r="O527">
        <v>0</v>
      </c>
      <c r="P527">
        <v>0.02903366107118788</v>
      </c>
      <c r="Q527">
        <v>0.302624286602727</v>
      </c>
      <c r="R527" t="s">
        <v>776</v>
      </c>
      <c r="S527" t="s">
        <v>788</v>
      </c>
      <c r="T527">
        <v>55773.88136</v>
      </c>
      <c r="U527" s="2">
        <v>44425</v>
      </c>
      <c r="V527" t="s">
        <v>792</v>
      </c>
    </row>
    <row r="528" spans="1:22">
      <c r="A528" s="1" t="s">
        <v>548</v>
      </c>
      <c r="B528">
        <f>HYPERLINK("https://www.suredividend.com/sure-analysis-WSR/","Whitestone REIT")</f>
        <v>0</v>
      </c>
      <c r="C528">
        <v>10.14</v>
      </c>
      <c r="D528">
        <v>10</v>
      </c>
      <c r="E528">
        <v>1.014</v>
      </c>
      <c r="F528">
        <v>0.04240631163708086</v>
      </c>
      <c r="G528">
        <v>-0.00277671879893715</v>
      </c>
      <c r="H528">
        <v>0.02</v>
      </c>
      <c r="I528">
        <v>0.06169111811917749</v>
      </c>
      <c r="J528" t="s">
        <v>486</v>
      </c>
      <c r="K528" t="s">
        <v>378</v>
      </c>
      <c r="L528">
        <v>0.92</v>
      </c>
      <c r="M528">
        <v>0.43</v>
      </c>
      <c r="N528">
        <v>0.4673913043478261</v>
      </c>
      <c r="O528">
        <v>0</v>
      </c>
      <c r="P528">
        <v>0.06889872481155268</v>
      </c>
      <c r="Q528">
        <v>0.7706181540437791</v>
      </c>
      <c r="R528" t="s">
        <v>778</v>
      </c>
      <c r="S528" t="s">
        <v>790</v>
      </c>
      <c r="T528">
        <v>436.332469</v>
      </c>
      <c r="U528" s="2">
        <v>44422</v>
      </c>
      <c r="V528" t="s">
        <v>801</v>
      </c>
    </row>
    <row r="529" spans="1:22">
      <c r="A529" s="1" t="s">
        <v>549</v>
      </c>
      <c r="B529">
        <f>HYPERLINK("https://www.suredividend.com/sure-analysis-STX/","Seagate Technology Holdings Plc")</f>
        <v>0</v>
      </c>
      <c r="C529">
        <v>81.23999999999999</v>
      </c>
      <c r="D529">
        <v>82</v>
      </c>
      <c r="E529">
        <v>0.9907317073170732</v>
      </c>
      <c r="F529">
        <v>0.03298867552929591</v>
      </c>
      <c r="G529">
        <v>0.001864037271953611</v>
      </c>
      <c r="H529">
        <v>0.03</v>
      </c>
      <c r="I529">
        <v>0.06150861078387071</v>
      </c>
      <c r="J529" t="s">
        <v>486</v>
      </c>
      <c r="K529" t="s">
        <v>378</v>
      </c>
      <c r="L529">
        <v>8.15</v>
      </c>
      <c r="M529">
        <v>2.68</v>
      </c>
      <c r="N529">
        <v>0.3288343558282208</v>
      </c>
      <c r="O529">
        <v>2</v>
      </c>
      <c r="P529">
        <v>0.02485297676488085</v>
      </c>
      <c r="Q529">
        <v>-0.169770281846737</v>
      </c>
      <c r="R529" t="s">
        <v>776</v>
      </c>
      <c r="S529" t="s">
        <v>784</v>
      </c>
      <c r="T529">
        <v>18661.174971</v>
      </c>
      <c r="U529" s="2">
        <v>44415</v>
      </c>
      <c r="V529" t="s">
        <v>794</v>
      </c>
    </row>
    <row r="530" spans="1:22">
      <c r="A530" s="1" t="s">
        <v>550</v>
      </c>
      <c r="B530">
        <f>HYPERLINK("https://www.suredividend.com/sure-analysis-KMI/","Kinder Morgan Inc")</f>
        <v>0</v>
      </c>
      <c r="C530">
        <v>18.47</v>
      </c>
      <c r="D530">
        <v>20.3</v>
      </c>
      <c r="E530">
        <v>0.9098522167487684</v>
      </c>
      <c r="F530">
        <v>0.0584731997834326</v>
      </c>
      <c r="G530">
        <v>0.01907425125023221</v>
      </c>
      <c r="H530">
        <v>-0.012</v>
      </c>
      <c r="I530">
        <v>0.06001799919053585</v>
      </c>
      <c r="J530" t="s">
        <v>486</v>
      </c>
      <c r="K530" t="s">
        <v>773</v>
      </c>
      <c r="L530">
        <v>2.39</v>
      </c>
      <c r="M530">
        <v>1.08</v>
      </c>
      <c r="N530">
        <v>0.4518828451882845</v>
      </c>
      <c r="O530">
        <v>4</v>
      </c>
      <c r="P530">
        <v>0.01263939059641661</v>
      </c>
      <c r="Q530">
        <v>0.540837193773215</v>
      </c>
      <c r="R530" t="s">
        <v>776</v>
      </c>
      <c r="S530" t="s">
        <v>789</v>
      </c>
      <c r="T530">
        <v>41839.973913</v>
      </c>
      <c r="U530" s="2">
        <v>44411</v>
      </c>
      <c r="V530" t="s">
        <v>800</v>
      </c>
    </row>
    <row r="531" spans="1:22">
      <c r="A531" s="1" t="s">
        <v>551</v>
      </c>
      <c r="B531">
        <f>HYPERLINK("https://www.suredividend.com/sure-analysis-DEA/","Easterly Government Properties Inc")</f>
        <v>0</v>
      </c>
      <c r="C531">
        <v>21.73</v>
      </c>
      <c r="D531">
        <v>20.8</v>
      </c>
      <c r="E531">
        <v>1.044711538461538</v>
      </c>
      <c r="F531">
        <v>0.04878048780487805</v>
      </c>
      <c r="G531">
        <v>-0.008710007686961507</v>
      </c>
      <c r="H531">
        <v>0.021</v>
      </c>
      <c r="I531">
        <v>0.05998872728758653</v>
      </c>
      <c r="J531" t="s">
        <v>486</v>
      </c>
      <c r="K531" t="s">
        <v>773</v>
      </c>
      <c r="L531">
        <v>1.31</v>
      </c>
      <c r="M531">
        <v>1.06</v>
      </c>
      <c r="N531">
        <v>0.8091603053435115</v>
      </c>
      <c r="O531">
        <v>1</v>
      </c>
      <c r="P531">
        <v>0.04166362161741732</v>
      </c>
      <c r="Q531">
        <v>0.025968497232865</v>
      </c>
      <c r="R531" t="s">
        <v>778</v>
      </c>
      <c r="S531" t="s">
        <v>790</v>
      </c>
      <c r="T531">
        <v>1820.77334</v>
      </c>
      <c r="U531" s="2">
        <v>44421</v>
      </c>
      <c r="V531" t="s">
        <v>800</v>
      </c>
    </row>
    <row r="532" spans="1:22">
      <c r="A532" s="1" t="s">
        <v>552</v>
      </c>
      <c r="B532">
        <f>HYPERLINK("https://www.suredividend.com/sure-analysis-KHC/","Kraft Heinz Co")</f>
        <v>0</v>
      </c>
      <c r="C532">
        <v>36.88</v>
      </c>
      <c r="D532">
        <v>37</v>
      </c>
      <c r="E532">
        <v>0.9967567567567568</v>
      </c>
      <c r="F532">
        <v>0.04338394793926247</v>
      </c>
      <c r="G532">
        <v>0.0006499138937401394</v>
      </c>
      <c r="H532">
        <v>0.02</v>
      </c>
      <c r="I532">
        <v>0.05783148941930216</v>
      </c>
      <c r="J532" t="s">
        <v>486</v>
      </c>
      <c r="K532" t="s">
        <v>378</v>
      </c>
      <c r="L532">
        <v>2.87</v>
      </c>
      <c r="M532">
        <v>1.6</v>
      </c>
      <c r="N532">
        <v>0.5574912891986062</v>
      </c>
      <c r="O532">
        <v>0</v>
      </c>
      <c r="P532">
        <v>0</v>
      </c>
      <c r="Q532">
        <v>0.199558842610613</v>
      </c>
      <c r="R532" t="s">
        <v>776</v>
      </c>
      <c r="S532" t="s">
        <v>785</v>
      </c>
      <c r="T532">
        <v>45240.856289</v>
      </c>
      <c r="U532" s="2">
        <v>44417</v>
      </c>
      <c r="V532" t="s">
        <v>794</v>
      </c>
    </row>
    <row r="533" spans="1:22">
      <c r="A533" s="1" t="s">
        <v>553</v>
      </c>
      <c r="B533">
        <f>HYPERLINK("https://www.suredividend.com/sure-analysis-TJX/","TJX Companies, Inc.")</f>
        <v>0</v>
      </c>
      <c r="C533">
        <v>64.64</v>
      </c>
      <c r="D533">
        <v>51</v>
      </c>
      <c r="E533">
        <v>1.267450980392157</v>
      </c>
      <c r="F533">
        <v>0.01608910891089109</v>
      </c>
      <c r="G533">
        <v>-0.04629564530090047</v>
      </c>
      <c r="H533">
        <v>0.09</v>
      </c>
      <c r="I533">
        <v>0.05738447405114244</v>
      </c>
      <c r="J533" t="s">
        <v>486</v>
      </c>
      <c r="K533" t="s">
        <v>774</v>
      </c>
      <c r="L533">
        <v>2.36</v>
      </c>
      <c r="M533">
        <v>1.04</v>
      </c>
      <c r="N533">
        <v>0.440677966101695</v>
      </c>
      <c r="O533">
        <v>0</v>
      </c>
      <c r="P533">
        <v>0.09935163429189564</v>
      </c>
      <c r="Q533">
        <v>0.14853082649599</v>
      </c>
      <c r="R533" t="s">
        <v>776</v>
      </c>
      <c r="S533" t="s">
        <v>788</v>
      </c>
      <c r="T533">
        <v>77383.397327</v>
      </c>
      <c r="U533" s="2">
        <v>44429</v>
      </c>
      <c r="V533" t="s">
        <v>801</v>
      </c>
    </row>
    <row r="534" spans="1:22">
      <c r="A534" s="1" t="s">
        <v>554</v>
      </c>
      <c r="B534">
        <f>HYPERLINK("https://www.suredividend.com/sure-analysis-IP/","International Paper Co.")</f>
        <v>0</v>
      </c>
      <c r="C534">
        <v>52.87</v>
      </c>
      <c r="D534">
        <v>46</v>
      </c>
      <c r="E534">
        <v>1.149347826086957</v>
      </c>
      <c r="F534">
        <v>0.03877435218460375</v>
      </c>
      <c r="G534">
        <v>-0.02745500261143063</v>
      </c>
      <c r="H534">
        <v>0.05</v>
      </c>
      <c r="I534">
        <v>0.05682119024944798</v>
      </c>
      <c r="J534" t="s">
        <v>486</v>
      </c>
      <c r="K534" t="s">
        <v>378</v>
      </c>
      <c r="L534">
        <v>4.6</v>
      </c>
      <c r="M534">
        <v>2.05</v>
      </c>
      <c r="N534">
        <v>0.4456521739130435</v>
      </c>
      <c r="O534">
        <v>10</v>
      </c>
      <c r="P534">
        <v>0.02328072821538041</v>
      </c>
      <c r="Q534">
        <v>0.253576268634241</v>
      </c>
      <c r="R534" t="s">
        <v>776</v>
      </c>
      <c r="S534" t="s">
        <v>788</v>
      </c>
      <c r="T534">
        <v>20823.668234</v>
      </c>
      <c r="U534" s="2">
        <v>44435</v>
      </c>
      <c r="V534" t="s">
        <v>796</v>
      </c>
    </row>
    <row r="535" spans="1:22">
      <c r="A535" s="1" t="s">
        <v>555</v>
      </c>
      <c r="B535">
        <f>HYPERLINK("https://www.suredividend.com/sure-analysis-AGNC/","AGNC Investment Corp")</f>
        <v>0</v>
      </c>
      <c r="C535">
        <v>16.34</v>
      </c>
      <c r="D535">
        <v>22.2</v>
      </c>
      <c r="E535">
        <v>0.7360360360360361</v>
      </c>
      <c r="F535">
        <v>0.08812729498164014</v>
      </c>
      <c r="G535">
        <v>0.06321277067412834</v>
      </c>
      <c r="H535">
        <v>-0.08799999999999999</v>
      </c>
      <c r="I535">
        <v>0.0552934232817659</v>
      </c>
      <c r="J535" t="s">
        <v>486</v>
      </c>
      <c r="K535" t="s">
        <v>773</v>
      </c>
      <c r="L535">
        <v>2.78</v>
      </c>
      <c r="M535">
        <v>1.44</v>
      </c>
      <c r="N535">
        <v>0.5179856115107914</v>
      </c>
      <c r="O535">
        <v>0</v>
      </c>
      <c r="P535">
        <v>0.008197818497166498</v>
      </c>
      <c r="Q535">
        <v>0.246283049167479</v>
      </c>
      <c r="R535" t="s">
        <v>778</v>
      </c>
      <c r="S535" t="s">
        <v>790</v>
      </c>
      <c r="T535">
        <v>8514.013956000001</v>
      </c>
      <c r="U535" s="2">
        <v>44411</v>
      </c>
      <c r="V535" t="s">
        <v>800</v>
      </c>
    </row>
    <row r="536" spans="1:22">
      <c r="A536" s="1" t="s">
        <v>556</v>
      </c>
      <c r="B536">
        <f>HYPERLINK("https://www.suredividend.com/sure-analysis-NTAP/","Netapp Inc")</f>
        <v>0</v>
      </c>
      <c r="C536">
        <v>90.34</v>
      </c>
      <c r="D536">
        <v>79</v>
      </c>
      <c r="E536">
        <v>1.143544303797468</v>
      </c>
      <c r="F536">
        <v>0.02213858755811379</v>
      </c>
      <c r="G536">
        <v>-0.02646986131885798</v>
      </c>
      <c r="H536">
        <v>0.06</v>
      </c>
      <c r="I536">
        <v>0.0543013438229234</v>
      </c>
      <c r="J536" t="s">
        <v>486</v>
      </c>
      <c r="K536" t="s">
        <v>486</v>
      </c>
      <c r="L536">
        <v>4.95</v>
      </c>
      <c r="M536">
        <v>2</v>
      </c>
      <c r="N536">
        <v>0.404040404040404</v>
      </c>
      <c r="O536">
        <v>7</v>
      </c>
      <c r="P536">
        <v>0.0602809527753625</v>
      </c>
      <c r="Q536">
        <v>1.041946185353869</v>
      </c>
      <c r="R536" t="s">
        <v>776</v>
      </c>
      <c r="S536" t="s">
        <v>784</v>
      </c>
      <c r="T536">
        <v>21115.090214</v>
      </c>
      <c r="U536" s="2">
        <v>44435</v>
      </c>
      <c r="V536" t="s">
        <v>797</v>
      </c>
    </row>
    <row r="537" spans="1:22">
      <c r="A537" s="1" t="s">
        <v>557</v>
      </c>
      <c r="B537">
        <f>HYPERLINK("https://www.suredividend.com/sure-analysis-GLW/","Corning, Inc.")</f>
        <v>0</v>
      </c>
      <c r="C537">
        <v>37.82</v>
      </c>
      <c r="D537">
        <v>34</v>
      </c>
      <c r="E537">
        <v>1.112352941176471</v>
      </c>
      <c r="F537">
        <v>0.02538339502908514</v>
      </c>
      <c r="G537">
        <v>-0.02107035944606639</v>
      </c>
      <c r="H537">
        <v>0.05</v>
      </c>
      <c r="I537">
        <v>0.05318258547902577</v>
      </c>
      <c r="J537" t="s">
        <v>486</v>
      </c>
      <c r="K537" t="s">
        <v>486</v>
      </c>
      <c r="L537">
        <v>2.15</v>
      </c>
      <c r="M537">
        <v>0.96</v>
      </c>
      <c r="N537">
        <v>0.4465116279069767</v>
      </c>
      <c r="O537">
        <v>11</v>
      </c>
      <c r="P537">
        <v>0.05251935381426631</v>
      </c>
      <c r="Q537">
        <v>0.104684502688211</v>
      </c>
      <c r="R537" t="s">
        <v>776</v>
      </c>
      <c r="S537" t="s">
        <v>784</v>
      </c>
      <c r="T537">
        <v>32410.519296</v>
      </c>
      <c r="U537" s="2">
        <v>44405</v>
      </c>
      <c r="V537" t="s">
        <v>797</v>
      </c>
    </row>
    <row r="538" spans="1:22">
      <c r="A538" s="1" t="s">
        <v>558</v>
      </c>
      <c r="B538">
        <f>HYPERLINK("https://www.suredividend.com/sure-analysis-TS/","Tenaris S.A.")</f>
        <v>0</v>
      </c>
      <c r="C538">
        <v>22.81</v>
      </c>
      <c r="D538">
        <v>17</v>
      </c>
      <c r="E538">
        <v>1.341764705882353</v>
      </c>
      <c r="F538">
        <v>0.01841297676457694</v>
      </c>
      <c r="G538">
        <v>-0.05710197248581561</v>
      </c>
      <c r="H538">
        <v>0.1</v>
      </c>
      <c r="I538">
        <v>0.05263188268150309</v>
      </c>
      <c r="J538" t="s">
        <v>486</v>
      </c>
      <c r="K538" t="s">
        <v>774</v>
      </c>
      <c r="L538">
        <v>1</v>
      </c>
      <c r="M538">
        <v>0.42</v>
      </c>
      <c r="N538">
        <v>0.42</v>
      </c>
      <c r="O538">
        <v>0</v>
      </c>
      <c r="P538">
        <v>0</v>
      </c>
      <c r="Q538">
        <v>1.392673153978248</v>
      </c>
      <c r="R538" t="s">
        <v>776</v>
      </c>
      <c r="S538" t="s">
        <v>789</v>
      </c>
      <c r="T538">
        <v>13570.270861</v>
      </c>
      <c r="U538" s="2">
        <v>44413</v>
      </c>
      <c r="V538" t="s">
        <v>795</v>
      </c>
    </row>
    <row r="539" spans="1:22">
      <c r="A539" s="1" t="s">
        <v>559</v>
      </c>
      <c r="B539">
        <f>HYPERLINK("https://www.suredividend.com/sure-analysis-REG/","Regency Centers Corporation")</f>
        <v>0</v>
      </c>
      <c r="C539">
        <v>71.06</v>
      </c>
      <c r="D539">
        <v>65</v>
      </c>
      <c r="E539">
        <v>1.093230769230769</v>
      </c>
      <c r="F539">
        <v>0.03349282296650717</v>
      </c>
      <c r="G539">
        <v>-0.01766949502314985</v>
      </c>
      <c r="H539">
        <v>0.04</v>
      </c>
      <c r="I539">
        <v>0.05237395345787688</v>
      </c>
      <c r="J539" t="s">
        <v>486</v>
      </c>
      <c r="K539" t="s">
        <v>486</v>
      </c>
      <c r="L539">
        <v>3.54</v>
      </c>
      <c r="M539">
        <v>2.38</v>
      </c>
      <c r="N539">
        <v>0.6723163841807909</v>
      </c>
      <c r="O539">
        <v>8</v>
      </c>
      <c r="P539">
        <v>0.02017754074271805</v>
      </c>
      <c r="Q539">
        <v>0.9599684896093371</v>
      </c>
      <c r="R539" t="s">
        <v>778</v>
      </c>
      <c r="S539" t="s">
        <v>790</v>
      </c>
      <c r="T539">
        <v>12003.27755</v>
      </c>
      <c r="U539" s="2">
        <v>44416</v>
      </c>
      <c r="V539" t="s">
        <v>791</v>
      </c>
    </row>
    <row r="540" spans="1:22">
      <c r="A540" s="1" t="s">
        <v>560</v>
      </c>
      <c r="B540">
        <f>HYPERLINK("https://www.suredividend.com/sure-analysis-AES/","AES Corp.")</f>
        <v>0</v>
      </c>
      <c r="C540">
        <v>23.85</v>
      </c>
      <c r="D540">
        <v>19</v>
      </c>
      <c r="E540">
        <v>1.255263157894737</v>
      </c>
      <c r="F540">
        <v>0.02515723270440251</v>
      </c>
      <c r="G540">
        <v>-0.04445082137746514</v>
      </c>
      <c r="H540">
        <v>0.075</v>
      </c>
      <c r="I540">
        <v>0.05227161824686632</v>
      </c>
      <c r="J540" t="s">
        <v>486</v>
      </c>
      <c r="K540" t="s">
        <v>486</v>
      </c>
      <c r="L540">
        <v>1.54</v>
      </c>
      <c r="M540">
        <v>0.6</v>
      </c>
      <c r="N540">
        <v>0.3896103896103896</v>
      </c>
      <c r="O540">
        <v>9</v>
      </c>
      <c r="P540">
        <v>0.05115774595007161</v>
      </c>
      <c r="Q540">
        <v>0.258403101414608</v>
      </c>
      <c r="R540" t="s">
        <v>776</v>
      </c>
      <c r="S540" t="s">
        <v>789</v>
      </c>
      <c r="T540">
        <v>16265.841229</v>
      </c>
      <c r="U540" s="2">
        <v>44417</v>
      </c>
      <c r="V540" t="s">
        <v>793</v>
      </c>
    </row>
    <row r="541" spans="1:22">
      <c r="A541" s="1" t="s">
        <v>561</v>
      </c>
      <c r="B541">
        <f>HYPERLINK("https://www.suredividend.com/sure-analysis-UE/","Urban Edge Properties")</f>
        <v>0</v>
      </c>
      <c r="C541">
        <v>18.62</v>
      </c>
      <c r="D541">
        <v>18</v>
      </c>
      <c r="E541">
        <v>1.034444444444444</v>
      </c>
      <c r="F541">
        <v>0.03222341568206229</v>
      </c>
      <c r="G541">
        <v>-0.006750018378226308</v>
      </c>
      <c r="H541">
        <v>0.03</v>
      </c>
      <c r="I541">
        <v>0.05169107138556717</v>
      </c>
      <c r="J541" t="s">
        <v>486</v>
      </c>
      <c r="K541" t="s">
        <v>486</v>
      </c>
      <c r="L541">
        <v>1.08</v>
      </c>
      <c r="M541">
        <v>0.6</v>
      </c>
      <c r="N541">
        <v>0.5555555555555555</v>
      </c>
      <c r="O541">
        <v>0</v>
      </c>
      <c r="P541">
        <v>0.009805797673485328</v>
      </c>
      <c r="Q541">
        <v>0.9726583360034171</v>
      </c>
      <c r="R541" t="s">
        <v>778</v>
      </c>
      <c r="S541" t="s">
        <v>790</v>
      </c>
      <c r="T541">
        <v>2163.514757</v>
      </c>
      <c r="U541" s="2">
        <v>44426</v>
      </c>
      <c r="V541" t="s">
        <v>793</v>
      </c>
    </row>
    <row r="542" spans="1:22">
      <c r="A542" s="1" t="s">
        <v>562</v>
      </c>
      <c r="B542">
        <f>HYPERLINK("https://www.suredividend.com/sure-analysis-BXP/","Boston Properties, Inc.")</f>
        <v>0</v>
      </c>
      <c r="C542">
        <v>115.86</v>
      </c>
      <c r="D542">
        <v>105</v>
      </c>
      <c r="E542">
        <v>1.103428571428571</v>
      </c>
      <c r="F542">
        <v>0.03383393751078888</v>
      </c>
      <c r="G542">
        <v>-0.01949196943331788</v>
      </c>
      <c r="H542">
        <v>0.04</v>
      </c>
      <c r="I542">
        <v>0.05010591193642333</v>
      </c>
      <c r="J542" t="s">
        <v>486</v>
      </c>
      <c r="K542" t="s">
        <v>486</v>
      </c>
      <c r="L542">
        <v>6.56</v>
      </c>
      <c r="M542">
        <v>3.92</v>
      </c>
      <c r="N542">
        <v>0.5975609756097561</v>
      </c>
      <c r="O542">
        <v>5</v>
      </c>
      <c r="P542">
        <v>0.01000199077119301</v>
      </c>
      <c r="Q542">
        <v>0.5630241095399791</v>
      </c>
      <c r="R542" t="s">
        <v>778</v>
      </c>
      <c r="S542" t="s">
        <v>790</v>
      </c>
      <c r="T542">
        <v>18265.547059</v>
      </c>
      <c r="U542" s="2">
        <v>44411</v>
      </c>
      <c r="V542" t="s">
        <v>800</v>
      </c>
    </row>
    <row r="543" spans="1:22">
      <c r="A543" s="1" t="s">
        <v>563</v>
      </c>
      <c r="B543">
        <f>HYPERLINK("https://www.suredividend.com/sure-analysis-HBAN/","Huntington Bancshares, Inc.")</f>
        <v>0</v>
      </c>
      <c r="C543">
        <v>16.19</v>
      </c>
      <c r="D543">
        <v>14</v>
      </c>
      <c r="E543">
        <v>1.156428571428572</v>
      </c>
      <c r="F543">
        <v>0.03705991352686843</v>
      </c>
      <c r="G543">
        <v>-0.02864889763126754</v>
      </c>
      <c r="H543">
        <v>0.04</v>
      </c>
      <c r="I543">
        <v>0.04715312292580576</v>
      </c>
      <c r="J543" t="s">
        <v>486</v>
      </c>
      <c r="K543" t="s">
        <v>378</v>
      </c>
      <c r="L543">
        <v>1.25</v>
      </c>
      <c r="M543">
        <v>0.6</v>
      </c>
      <c r="N543">
        <v>0.48</v>
      </c>
      <c r="O543">
        <v>10</v>
      </c>
      <c r="P543">
        <v>0.03713728933664817</v>
      </c>
      <c r="Q543">
        <v>0.7391960665919081</v>
      </c>
      <c r="R543" t="s">
        <v>776</v>
      </c>
      <c r="S543" t="s">
        <v>786</v>
      </c>
      <c r="T543">
        <v>23816.871281</v>
      </c>
      <c r="U543" s="2">
        <v>44411</v>
      </c>
      <c r="V543" t="s">
        <v>797</v>
      </c>
    </row>
    <row r="544" spans="1:22">
      <c r="A544" s="1" t="s">
        <v>564</v>
      </c>
      <c r="B544">
        <f>HYPERLINK("https://www.suredividend.com/sure-analysis-EQNR/","Equinor ASA")</f>
        <v>0</v>
      </c>
      <c r="C544">
        <v>27.4</v>
      </c>
      <c r="D544">
        <v>26.4</v>
      </c>
      <c r="E544">
        <v>1.037878787878788</v>
      </c>
      <c r="F544">
        <v>0.02627737226277372</v>
      </c>
      <c r="G544">
        <v>-0.007408223477824438</v>
      </c>
      <c r="H544">
        <v>0.02</v>
      </c>
      <c r="I544">
        <v>0.04673001235109853</v>
      </c>
      <c r="J544" t="s">
        <v>486</v>
      </c>
      <c r="K544" t="s">
        <v>486</v>
      </c>
      <c r="L544">
        <v>2.2</v>
      </c>
      <c r="M544">
        <v>0.72</v>
      </c>
      <c r="N544">
        <v>0.3272727272727272</v>
      </c>
      <c r="O544">
        <v>0</v>
      </c>
      <c r="P544">
        <v>0.1305865872992673</v>
      </c>
      <c r="Q544">
        <v>0.9722652461531781</v>
      </c>
      <c r="R544" t="s">
        <v>776</v>
      </c>
      <c r="S544" t="s">
        <v>789</v>
      </c>
      <c r="T544">
        <v>88771.990016</v>
      </c>
      <c r="U544" s="2">
        <v>44408</v>
      </c>
      <c r="V544" t="s">
        <v>791</v>
      </c>
    </row>
    <row r="545" spans="1:22">
      <c r="A545" s="1" t="s">
        <v>565</v>
      </c>
      <c r="B545">
        <f>HYPERLINK("https://www.suredividend.com/sure-analysis-KTB/","Kontoor Brands Inc")</f>
        <v>0</v>
      </c>
      <c r="C545">
        <v>50.22</v>
      </c>
      <c r="D545">
        <v>47</v>
      </c>
      <c r="E545">
        <v>1.068510638297872</v>
      </c>
      <c r="F545">
        <v>0.03185981680605337</v>
      </c>
      <c r="G545">
        <v>-0.01316571410111511</v>
      </c>
      <c r="H545">
        <v>0.03</v>
      </c>
      <c r="I545">
        <v>0.04635155386791756</v>
      </c>
      <c r="J545" t="s">
        <v>486</v>
      </c>
      <c r="K545" t="s">
        <v>486</v>
      </c>
      <c r="L545">
        <v>3.95</v>
      </c>
      <c r="M545">
        <v>1.6</v>
      </c>
      <c r="N545">
        <v>0.4050632911392405</v>
      </c>
      <c r="O545">
        <v>0</v>
      </c>
      <c r="P545">
        <v>0.0204004858967195</v>
      </c>
      <c r="Q545">
        <v>0.7727199296368761</v>
      </c>
      <c r="R545" t="s">
        <v>776</v>
      </c>
      <c r="S545" t="s">
        <v>788</v>
      </c>
      <c r="T545">
        <v>2847.447135</v>
      </c>
      <c r="U545" s="2">
        <v>44433</v>
      </c>
      <c r="V545" t="s">
        <v>794</v>
      </c>
    </row>
    <row r="546" spans="1:22">
      <c r="A546" s="1" t="s">
        <v>566</v>
      </c>
      <c r="B546">
        <f>HYPERLINK("https://www.suredividend.com/sure-analysis-NSP/","Insperity Inc")</f>
        <v>0</v>
      </c>
      <c r="C546">
        <v>117.28</v>
      </c>
      <c r="D546">
        <v>92</v>
      </c>
      <c r="E546">
        <v>1.274782608695652</v>
      </c>
      <c r="F546">
        <v>0.01534788540245566</v>
      </c>
      <c r="G546">
        <v>-0.0473951813583382</v>
      </c>
      <c r="H546">
        <v>0.08</v>
      </c>
      <c r="I546">
        <v>0.04425101723130132</v>
      </c>
      <c r="J546" t="s">
        <v>486</v>
      </c>
      <c r="K546" t="s">
        <v>774</v>
      </c>
      <c r="L546">
        <v>4.3</v>
      </c>
      <c r="M546">
        <v>1.8</v>
      </c>
      <c r="N546">
        <v>0.4186046511627907</v>
      </c>
      <c r="O546">
        <v>14</v>
      </c>
      <c r="P546">
        <v>0.05024607263868264</v>
      </c>
      <c r="Q546">
        <v>0.6298744910960811</v>
      </c>
      <c r="R546" t="s">
        <v>776</v>
      </c>
      <c r="S546" t="s">
        <v>786</v>
      </c>
      <c r="T546">
        <v>4552.794064</v>
      </c>
      <c r="U546" s="2">
        <v>44412</v>
      </c>
      <c r="V546" t="s">
        <v>793</v>
      </c>
    </row>
    <row r="547" spans="1:22">
      <c r="A547" s="1" t="s">
        <v>567</v>
      </c>
      <c r="B547">
        <f>HYPERLINK("https://www.suredividend.com/sure-analysis-CORR/","CorEnergy Infrastructure Trust Inc")</f>
        <v>0</v>
      </c>
      <c r="C547">
        <v>4.83</v>
      </c>
      <c r="D547">
        <v>4.5</v>
      </c>
      <c r="E547">
        <v>1.073333333333333</v>
      </c>
      <c r="F547">
        <v>0.04140786749482402</v>
      </c>
      <c r="G547">
        <v>-0.01405411985563831</v>
      </c>
      <c r="H547">
        <v>0.02</v>
      </c>
      <c r="I547">
        <v>0.04323375010551289</v>
      </c>
      <c r="J547" t="s">
        <v>486</v>
      </c>
      <c r="K547" t="s">
        <v>378</v>
      </c>
      <c r="L547">
        <v>0.45</v>
      </c>
      <c r="M547">
        <v>0.2</v>
      </c>
      <c r="N547">
        <v>0.4444444444444445</v>
      </c>
      <c r="O547">
        <v>0</v>
      </c>
      <c r="P547">
        <v>0</v>
      </c>
      <c r="Q547">
        <v>-0.09548123075746201</v>
      </c>
      <c r="R547" t="s">
        <v>776</v>
      </c>
      <c r="S547" t="s">
        <v>790</v>
      </c>
      <c r="T547">
        <v>70.148596</v>
      </c>
      <c r="U547" s="2">
        <v>44418</v>
      </c>
      <c r="V547" t="s">
        <v>792</v>
      </c>
    </row>
    <row r="548" spans="1:22">
      <c r="A548" s="1" t="s">
        <v>568</v>
      </c>
      <c r="B548">
        <f>HYPERLINK("https://www.suredividend.com/sure-analysis-TU/","Telus Corp.")</f>
        <v>0</v>
      </c>
      <c r="C548">
        <v>22.53</v>
      </c>
      <c r="D548">
        <v>15</v>
      </c>
      <c r="E548">
        <v>1.502</v>
      </c>
      <c r="F548">
        <v>0.04571682201509099</v>
      </c>
      <c r="G548">
        <v>-0.07813778743711952</v>
      </c>
      <c r="H548">
        <v>0.08</v>
      </c>
      <c r="I548">
        <v>0.04188633572645228</v>
      </c>
      <c r="J548" t="s">
        <v>486</v>
      </c>
      <c r="K548" t="s">
        <v>378</v>
      </c>
      <c r="L548">
        <v>0.95</v>
      </c>
      <c r="M548">
        <v>1.03</v>
      </c>
      <c r="N548">
        <v>1.08421052631579</v>
      </c>
      <c r="O548">
        <v>13</v>
      </c>
      <c r="P548">
        <v>0.02929993970978573</v>
      </c>
      <c r="Q548">
        <v>0.299769377203425</v>
      </c>
      <c r="R548" t="s">
        <v>776</v>
      </c>
      <c r="S548" t="s">
        <v>780</v>
      </c>
      <c r="T548">
        <v>30753.63878</v>
      </c>
      <c r="U548" s="2">
        <v>44439</v>
      </c>
      <c r="V548" t="s">
        <v>796</v>
      </c>
    </row>
    <row r="549" spans="1:22">
      <c r="A549" s="1" t="s">
        <v>569</v>
      </c>
      <c r="B549">
        <f>HYPERLINK("https://www.suredividend.com/sure-analysis-CAJ/","Canon Inc")</f>
        <v>0</v>
      </c>
      <c r="C549">
        <v>24.84</v>
      </c>
      <c r="D549">
        <v>22</v>
      </c>
      <c r="E549">
        <v>1.129090909090909</v>
      </c>
      <c r="F549">
        <v>0.02938808373590982</v>
      </c>
      <c r="G549">
        <v>-0.02399011128611617</v>
      </c>
      <c r="H549">
        <v>0.04</v>
      </c>
      <c r="I549">
        <v>0.04133661866367189</v>
      </c>
      <c r="J549" t="s">
        <v>486</v>
      </c>
      <c r="K549" t="s">
        <v>486</v>
      </c>
      <c r="L549">
        <v>1.8</v>
      </c>
      <c r="M549">
        <v>0.73</v>
      </c>
      <c r="N549">
        <v>0.4055555555555556</v>
      </c>
      <c r="O549">
        <v>0</v>
      </c>
      <c r="P549">
        <v>0</v>
      </c>
      <c r="Q549">
        <v>0.613115530926274</v>
      </c>
      <c r="R549" t="s">
        <v>776</v>
      </c>
      <c r="S549" t="s">
        <v>784</v>
      </c>
      <c r="T549">
        <v>32690.542503</v>
      </c>
      <c r="U549" s="2">
        <v>44410</v>
      </c>
      <c r="V549" t="s">
        <v>794</v>
      </c>
    </row>
    <row r="550" spans="1:22">
      <c r="A550" s="1" t="s">
        <v>570</v>
      </c>
      <c r="B550">
        <f>HYPERLINK("https://www.suredividend.com/sure-analysis-MPWR/","Monolithic Power System Inc")</f>
        <v>0</v>
      </c>
      <c r="C550">
        <v>490.32</v>
      </c>
      <c r="D550">
        <v>262</v>
      </c>
      <c r="E550">
        <v>1.871450381679389</v>
      </c>
      <c r="F550">
        <v>0.004894762604013705</v>
      </c>
      <c r="G550">
        <v>-0.1178055188247769</v>
      </c>
      <c r="H550">
        <v>0.17</v>
      </c>
      <c r="I550">
        <v>0.0397555346372056</v>
      </c>
      <c r="J550" t="s">
        <v>486</v>
      </c>
      <c r="K550" t="s">
        <v>774</v>
      </c>
      <c r="L550">
        <v>7.08</v>
      </c>
      <c r="M550">
        <v>2.4</v>
      </c>
      <c r="N550">
        <v>0.3389830508474576</v>
      </c>
      <c r="O550">
        <v>4</v>
      </c>
      <c r="P550">
        <v>0.1999209000665154</v>
      </c>
      <c r="Q550">
        <v>0.5352969243953071</v>
      </c>
      <c r="R550" t="s">
        <v>776</v>
      </c>
      <c r="S550" t="s">
        <v>784</v>
      </c>
      <c r="T550">
        <v>22089.3568</v>
      </c>
      <c r="U550" s="2">
        <v>44418</v>
      </c>
      <c r="V550" t="s">
        <v>791</v>
      </c>
    </row>
    <row r="551" spans="1:22">
      <c r="A551" s="1" t="s">
        <v>571</v>
      </c>
      <c r="B551">
        <f>HYPERLINK("https://www.suredividend.com/sure-analysis-VER/","VEREIT Inc")</f>
        <v>0</v>
      </c>
      <c r="C551">
        <v>49.4</v>
      </c>
      <c r="D551">
        <v>44.9</v>
      </c>
      <c r="E551">
        <v>1.10022271714922</v>
      </c>
      <c r="F551">
        <v>0.03785425101214576</v>
      </c>
      <c r="G551">
        <v>-0.01892122888702186</v>
      </c>
      <c r="H551">
        <v>0.017</v>
      </c>
      <c r="I551">
        <v>0.03969794477792221</v>
      </c>
      <c r="J551" t="s">
        <v>486</v>
      </c>
      <c r="K551" t="s">
        <v>486</v>
      </c>
      <c r="L551">
        <v>3.21</v>
      </c>
      <c r="M551">
        <v>1.87</v>
      </c>
      <c r="N551">
        <v>0.5825545171339565</v>
      </c>
      <c r="O551">
        <v>0</v>
      </c>
      <c r="P551">
        <v>0.05978966607306524</v>
      </c>
      <c r="Q551">
        <v>0.534440180367324</v>
      </c>
      <c r="R551" t="s">
        <v>776</v>
      </c>
      <c r="S551" t="s">
        <v>790</v>
      </c>
      <c r="T551">
        <v>11205.416222</v>
      </c>
      <c r="U551" s="2">
        <v>44421</v>
      </c>
      <c r="V551" t="s">
        <v>800</v>
      </c>
    </row>
    <row r="552" spans="1:22">
      <c r="A552" s="1" t="s">
        <v>572</v>
      </c>
      <c r="B552">
        <f>HYPERLINK("https://www.suredividend.com/sure-analysis-EGP/","Eastgroup Properties, Inc.")</f>
        <v>0</v>
      </c>
      <c r="C552">
        <v>185.51</v>
      </c>
      <c r="D552">
        <v>142</v>
      </c>
      <c r="E552">
        <v>1.306408450704225</v>
      </c>
      <c r="F552">
        <v>0.01940596194275241</v>
      </c>
      <c r="G552">
        <v>-0.05205267846279649</v>
      </c>
      <c r="H552">
        <v>0.075</v>
      </c>
      <c r="I552">
        <v>0.03910636166348014</v>
      </c>
      <c r="J552" t="s">
        <v>486</v>
      </c>
      <c r="K552" t="s">
        <v>774</v>
      </c>
      <c r="L552">
        <v>5.93</v>
      </c>
      <c r="M552">
        <v>3.6</v>
      </c>
      <c r="N552">
        <v>0.6070826306913997</v>
      </c>
      <c r="O552">
        <v>11</v>
      </c>
      <c r="P552">
        <v>0.04978904632428516</v>
      </c>
      <c r="Q552">
        <v>0.342198782794031</v>
      </c>
      <c r="R552" t="s">
        <v>778</v>
      </c>
      <c r="S552" t="s">
        <v>790</v>
      </c>
      <c r="T552">
        <v>7358.627806</v>
      </c>
      <c r="U552" s="2">
        <v>44406</v>
      </c>
      <c r="V552" t="s">
        <v>791</v>
      </c>
    </row>
    <row r="553" spans="1:22">
      <c r="A553" s="1" t="s">
        <v>573</v>
      </c>
      <c r="B553">
        <f>HYPERLINK("https://www.suredividend.com/sure-analysis-PLD/","Prologis Inc")</f>
        <v>0</v>
      </c>
      <c r="C553">
        <v>139.79</v>
      </c>
      <c r="D553">
        <v>99</v>
      </c>
      <c r="E553">
        <v>1.412020202020202</v>
      </c>
      <c r="F553">
        <v>0.01802704056084126</v>
      </c>
      <c r="G553">
        <v>-0.06667732320305164</v>
      </c>
      <c r="H553">
        <v>0.09</v>
      </c>
      <c r="I553">
        <v>0.03779793599457526</v>
      </c>
      <c r="J553" t="s">
        <v>486</v>
      </c>
      <c r="K553" t="s">
        <v>774</v>
      </c>
      <c r="L553">
        <v>4.21</v>
      </c>
      <c r="M553">
        <v>2.52</v>
      </c>
      <c r="N553">
        <v>0.5985748218527316</v>
      </c>
      <c r="O553">
        <v>8</v>
      </c>
      <c r="P553">
        <v>0.07984205343909734</v>
      </c>
      <c r="Q553">
        <v>0.3427318682675931</v>
      </c>
      <c r="R553" t="s">
        <v>778</v>
      </c>
      <c r="S553" t="s">
        <v>790</v>
      </c>
      <c r="T553">
        <v>101262.60198</v>
      </c>
      <c r="U553" s="2">
        <v>44486</v>
      </c>
      <c r="V553" t="s">
        <v>791</v>
      </c>
    </row>
    <row r="554" spans="1:22">
      <c r="A554" s="1" t="s">
        <v>574</v>
      </c>
      <c r="B554">
        <f>HYPERLINK("https://www.suredividend.com/sure-analysis-TSM/","Taiwan Semiconductor Manufacturing")</f>
        <v>0</v>
      </c>
      <c r="C554">
        <v>115.34</v>
      </c>
      <c r="D554">
        <v>72</v>
      </c>
      <c r="E554">
        <v>1.601944444444444</v>
      </c>
      <c r="F554">
        <v>0.01629963585919889</v>
      </c>
      <c r="G554">
        <v>-0.08993898642500664</v>
      </c>
      <c r="H554">
        <v>0.12</v>
      </c>
      <c r="I554">
        <v>0.03771481911836383</v>
      </c>
      <c r="J554" t="s">
        <v>486</v>
      </c>
      <c r="K554" t="s">
        <v>774</v>
      </c>
      <c r="L554">
        <v>4.05</v>
      </c>
      <c r="M554">
        <v>1.88</v>
      </c>
      <c r="N554">
        <v>0.4641975308641975</v>
      </c>
      <c r="O554">
        <v>7</v>
      </c>
      <c r="P554">
        <v>0.07981721406627784</v>
      </c>
      <c r="Q554">
        <v>0.346035079413257</v>
      </c>
      <c r="R554" t="s">
        <v>776</v>
      </c>
      <c r="S554" t="s">
        <v>784</v>
      </c>
      <c r="T554">
        <v>595672.699927</v>
      </c>
      <c r="U554" s="2">
        <v>44392</v>
      </c>
      <c r="V554" t="s">
        <v>796</v>
      </c>
    </row>
    <row r="555" spans="1:22">
      <c r="A555" s="1" t="s">
        <v>575</v>
      </c>
      <c r="B555">
        <f>HYPERLINK("https://www.suredividend.com/sure-analysis-ING/","ING Groep N.V.")</f>
        <v>0</v>
      </c>
      <c r="C555">
        <v>15.06</v>
      </c>
      <c r="D555">
        <v>13.3</v>
      </c>
      <c r="E555">
        <v>1.132330827067669</v>
      </c>
      <c r="F555">
        <v>0.04714475431606905</v>
      </c>
      <c r="G555">
        <v>-0.02454927956157027</v>
      </c>
      <c r="H555">
        <v>0.01</v>
      </c>
      <c r="I555">
        <v>0.03755704353838474</v>
      </c>
      <c r="J555" t="s">
        <v>486</v>
      </c>
      <c r="K555" t="s">
        <v>378</v>
      </c>
      <c r="L555">
        <v>1.33</v>
      </c>
      <c r="M555">
        <v>0.71</v>
      </c>
      <c r="N555">
        <v>0.5338345864661653</v>
      </c>
      <c r="O555">
        <v>0</v>
      </c>
      <c r="P555">
        <v>0.05088842545712402</v>
      </c>
      <c r="Q555">
        <v>1.159425678574492</v>
      </c>
      <c r="R555" t="s">
        <v>776</v>
      </c>
      <c r="S555" t="s">
        <v>786</v>
      </c>
      <c r="T555">
        <v>58950.83109</v>
      </c>
      <c r="U555" s="2">
        <v>44416</v>
      </c>
      <c r="V555" t="s">
        <v>791</v>
      </c>
    </row>
    <row r="556" spans="1:22">
      <c r="A556" s="1" t="s">
        <v>576</v>
      </c>
      <c r="B556">
        <f>HYPERLINK("https://www.suredividend.com/sure-analysis-SUUIF/","Superior Plus Corp.")</f>
        <v>0</v>
      </c>
      <c r="C556">
        <v>11.22</v>
      </c>
      <c r="D556">
        <v>10.6</v>
      </c>
      <c r="E556">
        <v>1.058490566037736</v>
      </c>
      <c r="F556">
        <v>0.05080213903743315</v>
      </c>
      <c r="G556">
        <v>-0.01130439942467421</v>
      </c>
      <c r="H556">
        <v>0</v>
      </c>
      <c r="I556">
        <v>0.03692151445541692</v>
      </c>
      <c r="J556" t="s">
        <v>486</v>
      </c>
      <c r="K556" t="s">
        <v>773</v>
      </c>
      <c r="L556">
        <v>1.75</v>
      </c>
      <c r="M556">
        <v>0.57</v>
      </c>
      <c r="N556">
        <v>0.3257142857142857</v>
      </c>
      <c r="O556">
        <v>0</v>
      </c>
      <c r="P556">
        <v>0</v>
      </c>
      <c r="Q556">
        <v>0.200640341515474</v>
      </c>
      <c r="R556" t="s">
        <v>776</v>
      </c>
      <c r="S556" t="s">
        <v>787</v>
      </c>
      <c r="T556">
        <v>1980.468979</v>
      </c>
      <c r="U556" s="2">
        <v>44422</v>
      </c>
      <c r="V556" t="s">
        <v>791</v>
      </c>
    </row>
    <row r="557" spans="1:22">
      <c r="A557" s="1" t="s">
        <v>577</v>
      </c>
      <c r="B557">
        <f>HYPERLINK("https://www.suredividend.com/sure-analysis-WRK/","WestRock Co")</f>
        <v>0</v>
      </c>
      <c r="C557">
        <v>47.76</v>
      </c>
      <c r="D557">
        <v>38</v>
      </c>
      <c r="E557">
        <v>1.256842105263158</v>
      </c>
      <c r="F557">
        <v>0.01926298157453937</v>
      </c>
      <c r="G557">
        <v>-0.0446910298489096</v>
      </c>
      <c r="H557">
        <v>0.06</v>
      </c>
      <c r="I557">
        <v>0.03482799689798632</v>
      </c>
      <c r="J557" t="s">
        <v>486</v>
      </c>
      <c r="K557" t="s">
        <v>486</v>
      </c>
      <c r="L557">
        <v>3.45</v>
      </c>
      <c r="M557">
        <v>0.92</v>
      </c>
      <c r="N557">
        <v>0.2666666666666667</v>
      </c>
      <c r="O557">
        <v>1</v>
      </c>
      <c r="P557">
        <v>0.07971513264886743</v>
      </c>
      <c r="Q557">
        <v>0.156989888449976</v>
      </c>
      <c r="R557" t="s">
        <v>776</v>
      </c>
      <c r="S557" t="s">
        <v>788</v>
      </c>
      <c r="T557">
        <v>12434.474217</v>
      </c>
      <c r="U557" s="2">
        <v>44435</v>
      </c>
      <c r="V557" t="s">
        <v>796</v>
      </c>
    </row>
    <row r="558" spans="1:22">
      <c r="A558" s="1" t="s">
        <v>578</v>
      </c>
      <c r="B558">
        <f>HYPERLINK("https://www.suredividend.com/sure-analysis-DOC/","Physicians Realty Trust")</f>
        <v>0</v>
      </c>
      <c r="C558">
        <v>18.67</v>
      </c>
      <c r="D558">
        <v>16</v>
      </c>
      <c r="E558">
        <v>1.166875</v>
      </c>
      <c r="F558">
        <v>0.04927691483663631</v>
      </c>
      <c r="G558">
        <v>-0.03039436020405206</v>
      </c>
      <c r="H558">
        <v>0.017</v>
      </c>
      <c r="I558">
        <v>0.03343563893961377</v>
      </c>
      <c r="J558" t="s">
        <v>486</v>
      </c>
      <c r="K558" t="s">
        <v>773</v>
      </c>
      <c r="L558">
        <v>1.08</v>
      </c>
      <c r="M558">
        <v>0.92</v>
      </c>
      <c r="N558">
        <v>0.8518518518518519</v>
      </c>
      <c r="O558">
        <v>0</v>
      </c>
      <c r="P558">
        <v>0</v>
      </c>
      <c r="Q558">
        <v>0.09849785153706801</v>
      </c>
      <c r="R558" t="s">
        <v>778</v>
      </c>
      <c r="S558" t="s">
        <v>790</v>
      </c>
      <c r="T558">
        <v>4035.05291</v>
      </c>
      <c r="U558" s="2">
        <v>44413</v>
      </c>
      <c r="V558" t="s">
        <v>792</v>
      </c>
    </row>
    <row r="559" spans="1:22">
      <c r="A559" s="1" t="s">
        <v>579</v>
      </c>
      <c r="B559">
        <f>HYPERLINK("https://www.suredividend.com/sure-analysis-MAC/","Macerich Co.")</f>
        <v>0</v>
      </c>
      <c r="C559">
        <v>18.15</v>
      </c>
      <c r="D559">
        <v>15</v>
      </c>
      <c r="E559">
        <v>1.21</v>
      </c>
      <c r="F559">
        <v>0.03305785123966942</v>
      </c>
      <c r="G559">
        <v>-0.03740649734383228</v>
      </c>
      <c r="H559">
        <v>0.03</v>
      </c>
      <c r="I559">
        <v>0.03142059449938239</v>
      </c>
      <c r="J559" t="s">
        <v>486</v>
      </c>
      <c r="K559" t="s">
        <v>378</v>
      </c>
      <c r="L559">
        <v>1.93</v>
      </c>
      <c r="M559">
        <v>0.6</v>
      </c>
      <c r="N559">
        <v>0.310880829015544</v>
      </c>
      <c r="O559">
        <v>0</v>
      </c>
      <c r="P559">
        <v>0.0796084730466029</v>
      </c>
      <c r="Q559">
        <v>1.57028345724907</v>
      </c>
      <c r="R559" t="s">
        <v>778</v>
      </c>
      <c r="S559" t="s">
        <v>790</v>
      </c>
      <c r="T559">
        <v>3770.257495</v>
      </c>
      <c r="U559" s="2">
        <v>44435</v>
      </c>
      <c r="V559" t="s">
        <v>796</v>
      </c>
    </row>
    <row r="560" spans="1:22">
      <c r="A560" s="1" t="s">
        <v>580</v>
      </c>
      <c r="B560">
        <f>HYPERLINK("https://www.suredividend.com/sure-analysis-SKT/","Tanger Factory Outlet Centers, Inc.")</f>
        <v>0</v>
      </c>
      <c r="C560">
        <v>17.09</v>
      </c>
      <c r="D560">
        <v>15</v>
      </c>
      <c r="E560">
        <v>1.139333333333333</v>
      </c>
      <c r="F560">
        <v>0.04271503803393797</v>
      </c>
      <c r="G560">
        <v>-0.02575129033651014</v>
      </c>
      <c r="H560">
        <v>0.015</v>
      </c>
      <c r="I560">
        <v>0.03120759359704084</v>
      </c>
      <c r="J560" t="s">
        <v>486</v>
      </c>
      <c r="K560" t="s">
        <v>378</v>
      </c>
      <c r="L560">
        <v>1.56</v>
      </c>
      <c r="M560">
        <v>0.73</v>
      </c>
      <c r="N560">
        <v>0.4679487179487179</v>
      </c>
      <c r="O560">
        <v>1</v>
      </c>
      <c r="P560">
        <v>0.01072631497080168</v>
      </c>
      <c r="Q560">
        <v>1.831031750046368</v>
      </c>
      <c r="R560" t="s">
        <v>778</v>
      </c>
      <c r="S560" t="s">
        <v>790</v>
      </c>
      <c r="T560">
        <v>1745.442429</v>
      </c>
      <c r="U560" s="2">
        <v>44413</v>
      </c>
      <c r="V560" t="s">
        <v>793</v>
      </c>
    </row>
    <row r="561" spans="1:22">
      <c r="A561" s="1" t="s">
        <v>581</v>
      </c>
      <c r="B561">
        <f>HYPERLINK("https://www.suredividend.com/sure-analysis-PLYM/","Plymouth Industrial Reit Inc")</f>
        <v>0</v>
      </c>
      <c r="C561">
        <v>24.5</v>
      </c>
      <c r="D561">
        <v>19</v>
      </c>
      <c r="E561">
        <v>1.289473684210526</v>
      </c>
      <c r="F561">
        <v>0.03428571428571429</v>
      </c>
      <c r="G561">
        <v>-0.04957576192779145</v>
      </c>
      <c r="H561">
        <v>0.05</v>
      </c>
      <c r="I561">
        <v>0.03120400532812106</v>
      </c>
      <c r="J561" t="s">
        <v>486</v>
      </c>
      <c r="K561" t="s">
        <v>486</v>
      </c>
      <c r="L561">
        <v>1.46</v>
      </c>
      <c r="M561">
        <v>0.84</v>
      </c>
      <c r="N561">
        <v>0.5753424657534246</v>
      </c>
      <c r="O561">
        <v>0</v>
      </c>
      <c r="P561">
        <v>0.009347419909568888</v>
      </c>
      <c r="Q561">
        <v>1.014834771907066</v>
      </c>
      <c r="R561" t="s">
        <v>778</v>
      </c>
      <c r="S561" t="s">
        <v>790</v>
      </c>
      <c r="T561">
        <v>743.447321</v>
      </c>
      <c r="U561" s="2">
        <v>44430</v>
      </c>
      <c r="V561" t="s">
        <v>793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32.38</v>
      </c>
      <c r="D562">
        <v>26</v>
      </c>
      <c r="E562">
        <v>1.245384615384616</v>
      </c>
      <c r="F562">
        <v>0.02316244595429277</v>
      </c>
      <c r="G562">
        <v>-0.04293970185267559</v>
      </c>
      <c r="H562">
        <v>0.05</v>
      </c>
      <c r="I562">
        <v>0.0306429196327187</v>
      </c>
      <c r="J562" t="s">
        <v>486</v>
      </c>
      <c r="K562" t="s">
        <v>486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0.327268195413758</v>
      </c>
      <c r="R562" t="s">
        <v>776</v>
      </c>
      <c r="S562" t="s">
        <v>782</v>
      </c>
      <c r="T562">
        <v>7090.660273</v>
      </c>
      <c r="U562" s="2">
        <v>44407</v>
      </c>
      <c r="V562" t="s">
        <v>791</v>
      </c>
    </row>
    <row r="563" spans="1:22">
      <c r="A563" s="1" t="s">
        <v>583</v>
      </c>
      <c r="B563">
        <f>HYPERLINK("https://www.suredividend.com/sure-analysis-USB/","U.S. Bancorp.")</f>
        <v>0</v>
      </c>
      <c r="C563">
        <v>60.58</v>
      </c>
      <c r="D563">
        <v>59</v>
      </c>
      <c r="E563">
        <v>1.026779661016949</v>
      </c>
      <c r="F563">
        <v>0.03037306041597887</v>
      </c>
      <c r="G563">
        <v>-0.005271528806620407</v>
      </c>
      <c r="H563">
        <v>0</v>
      </c>
      <c r="I563">
        <v>0.02929288491712723</v>
      </c>
      <c r="J563" t="s">
        <v>486</v>
      </c>
      <c r="K563" t="s">
        <v>378</v>
      </c>
      <c r="L563">
        <v>4.95</v>
      </c>
      <c r="M563">
        <v>1.84</v>
      </c>
      <c r="N563">
        <v>0.3717171717171717</v>
      </c>
      <c r="O563">
        <v>10</v>
      </c>
      <c r="P563">
        <v>0.05979888147511248</v>
      </c>
      <c r="Q563">
        <v>0.588394147494119</v>
      </c>
      <c r="R563" t="s">
        <v>776</v>
      </c>
      <c r="S563" t="s">
        <v>786</v>
      </c>
      <c r="T563">
        <v>89298.366064</v>
      </c>
      <c r="U563" s="2">
        <v>44395</v>
      </c>
      <c r="V563" t="s">
        <v>795</v>
      </c>
    </row>
    <row r="564" spans="1:22">
      <c r="A564" s="1" t="s">
        <v>584</v>
      </c>
      <c r="B564">
        <f>HYPERLINK("https://www.suredividend.com/sure-analysis-KRG/","Kite Realty Group Trust")</f>
        <v>0</v>
      </c>
      <c r="C564">
        <v>22.02</v>
      </c>
      <c r="D564">
        <v>17</v>
      </c>
      <c r="E564">
        <v>1.295294117647059</v>
      </c>
      <c r="F564">
        <v>0.0326975476839237</v>
      </c>
      <c r="G564">
        <v>-0.05043145190335707</v>
      </c>
      <c r="H564">
        <v>0.05</v>
      </c>
      <c r="I564">
        <v>0.02910031057711793</v>
      </c>
      <c r="J564" t="s">
        <v>486</v>
      </c>
      <c r="K564" t="s">
        <v>486</v>
      </c>
      <c r="L564">
        <v>1.32</v>
      </c>
      <c r="M564">
        <v>0.72</v>
      </c>
      <c r="N564">
        <v>0.5454545454545454</v>
      </c>
      <c r="O564">
        <v>1</v>
      </c>
      <c r="P564">
        <v>0.01087212085035083</v>
      </c>
      <c r="Q564">
        <v>0.9877008169131961</v>
      </c>
      <c r="R564" t="s">
        <v>778</v>
      </c>
      <c r="S564" t="s">
        <v>790</v>
      </c>
      <c r="T564">
        <v>1847.754405</v>
      </c>
      <c r="U564" s="2">
        <v>44426</v>
      </c>
      <c r="V564" t="s">
        <v>793</v>
      </c>
    </row>
    <row r="565" spans="1:22">
      <c r="A565" s="1" t="s">
        <v>585</v>
      </c>
      <c r="B565">
        <f>HYPERLINK("https://www.suredividend.com/sure-analysis-UBS/","UBS Group AG")</f>
        <v>0</v>
      </c>
      <c r="C565">
        <v>17.21</v>
      </c>
      <c r="D565">
        <v>16</v>
      </c>
      <c r="E565">
        <v>1.075625</v>
      </c>
      <c r="F565">
        <v>0.02149912841371296</v>
      </c>
      <c r="G565">
        <v>-0.01447459861450806</v>
      </c>
      <c r="H565">
        <v>0.02</v>
      </c>
      <c r="I565">
        <v>0.02790503608124451</v>
      </c>
      <c r="J565" t="s">
        <v>486</v>
      </c>
      <c r="K565" t="s">
        <v>486</v>
      </c>
      <c r="L565">
        <v>1.35</v>
      </c>
      <c r="M565">
        <v>0.37</v>
      </c>
      <c r="N565">
        <v>0.274074074074074</v>
      </c>
      <c r="O565">
        <v>0</v>
      </c>
      <c r="P565">
        <v>0.03992533304330625</v>
      </c>
      <c r="Q565">
        <v>0.523393075966887</v>
      </c>
      <c r="R565" t="s">
        <v>776</v>
      </c>
      <c r="S565" t="s">
        <v>786</v>
      </c>
      <c r="T565">
        <v>63977.869354</v>
      </c>
      <c r="U565" s="2">
        <v>44397</v>
      </c>
      <c r="V565" t="s">
        <v>796</v>
      </c>
    </row>
    <row r="566" spans="1:22">
      <c r="A566" s="1" t="s">
        <v>586</v>
      </c>
      <c r="B566">
        <f>HYPERLINK("https://www.suredividend.com/sure-analysis-APO/","Apollo Global Management Inc")</f>
        <v>0</v>
      </c>
      <c r="C566">
        <v>68.3</v>
      </c>
      <c r="D566">
        <v>51</v>
      </c>
      <c r="E566">
        <v>1.33921568627451</v>
      </c>
      <c r="F566">
        <v>0.03089311859443631</v>
      </c>
      <c r="G566">
        <v>-0.05674330915762671</v>
      </c>
      <c r="H566">
        <v>0.05</v>
      </c>
      <c r="I566">
        <v>0.02512967679449152</v>
      </c>
      <c r="J566" t="s">
        <v>486</v>
      </c>
      <c r="K566" t="s">
        <v>486</v>
      </c>
      <c r="L566">
        <v>3.9</v>
      </c>
      <c r="M566">
        <v>2.11</v>
      </c>
      <c r="N566">
        <v>0.541025641025641</v>
      </c>
      <c r="O566">
        <v>4</v>
      </c>
      <c r="P566">
        <v>0.04976953460473332</v>
      </c>
      <c r="Q566">
        <v>0.734937030689497</v>
      </c>
      <c r="R566" t="s">
        <v>776</v>
      </c>
      <c r="S566" t="s">
        <v>786</v>
      </c>
      <c r="T566">
        <v>15879.254476</v>
      </c>
      <c r="U566" s="2">
        <v>44427</v>
      </c>
      <c r="V566" t="s">
        <v>795</v>
      </c>
    </row>
    <row r="567" spans="1:22">
      <c r="A567" s="1" t="s">
        <v>587</v>
      </c>
      <c r="B567">
        <f>HYPERLINK("https://www.suredividend.com/sure-analysis-COR/","CoreSite Realty Corporation")</f>
        <v>0</v>
      </c>
      <c r="C567">
        <v>141.05</v>
      </c>
      <c r="D567">
        <v>105</v>
      </c>
      <c r="E567">
        <v>1.343333333333333</v>
      </c>
      <c r="F567">
        <v>0.03601559730591988</v>
      </c>
      <c r="G567">
        <v>-0.05732228222160884</v>
      </c>
      <c r="H567">
        <v>0.048</v>
      </c>
      <c r="I567">
        <v>0.02474252149494016</v>
      </c>
      <c r="J567" t="s">
        <v>486</v>
      </c>
      <c r="K567" t="s">
        <v>378</v>
      </c>
      <c r="L567">
        <v>5.55</v>
      </c>
      <c r="M567">
        <v>5.08</v>
      </c>
      <c r="N567">
        <v>0.9153153153153154</v>
      </c>
      <c r="O567">
        <v>10</v>
      </c>
      <c r="P567">
        <v>0.01601424134469998</v>
      </c>
      <c r="Q567">
        <v>0.163925142541994</v>
      </c>
      <c r="R567" t="s">
        <v>778</v>
      </c>
      <c r="S567" t="s">
        <v>790</v>
      </c>
      <c r="T567">
        <v>6259.876847</v>
      </c>
      <c r="U567" s="2">
        <v>44415</v>
      </c>
      <c r="V567" t="s">
        <v>800</v>
      </c>
    </row>
    <row r="568" spans="1:22">
      <c r="A568" s="1" t="s">
        <v>588</v>
      </c>
      <c r="B568">
        <f>HYPERLINK("https://www.suredividend.com/sure-analysis-GRMN/","Garmin Ltd")</f>
        <v>0</v>
      </c>
      <c r="C568">
        <v>159.4</v>
      </c>
      <c r="D568">
        <v>112</v>
      </c>
      <c r="E568">
        <v>1.423214285714286</v>
      </c>
      <c r="F568">
        <v>0.01681304893350063</v>
      </c>
      <c r="G568">
        <v>-0.06815014681923759</v>
      </c>
      <c r="H568">
        <v>0.08</v>
      </c>
      <c r="I568">
        <v>0.02473407625523305</v>
      </c>
      <c r="J568" t="s">
        <v>486</v>
      </c>
      <c r="K568" t="s">
        <v>774</v>
      </c>
      <c r="L568">
        <v>5.6</v>
      </c>
      <c r="M568">
        <v>2.68</v>
      </c>
      <c r="N568">
        <v>0.4785714285714286</v>
      </c>
      <c r="O568">
        <v>4</v>
      </c>
      <c r="P568">
        <v>0.04997331683701267</v>
      </c>
      <c r="Q568">
        <v>0.604553961130186</v>
      </c>
      <c r="R568" t="s">
        <v>776</v>
      </c>
      <c r="S568" t="s">
        <v>784</v>
      </c>
      <c r="T568">
        <v>30027.21247</v>
      </c>
      <c r="U568" s="2">
        <v>44410</v>
      </c>
      <c r="V568" t="s">
        <v>795</v>
      </c>
    </row>
    <row r="569" spans="1:22">
      <c r="A569" s="1" t="s">
        <v>589</v>
      </c>
      <c r="B569">
        <f>HYPERLINK("https://www.suredividend.com/sure-analysis-PSO/","Pearson plc")</f>
        <v>0</v>
      </c>
      <c r="C569">
        <v>8.52</v>
      </c>
      <c r="D569">
        <v>7</v>
      </c>
      <c r="E569">
        <v>1.217142857142857</v>
      </c>
      <c r="F569">
        <v>0.03169014084507043</v>
      </c>
      <c r="G569">
        <v>-0.03853896342484009</v>
      </c>
      <c r="H569">
        <v>0.03</v>
      </c>
      <c r="I569">
        <v>0.02125796563305582</v>
      </c>
      <c r="J569" t="s">
        <v>486</v>
      </c>
      <c r="K569" t="s">
        <v>486</v>
      </c>
      <c r="L569">
        <v>0.46</v>
      </c>
      <c r="M569">
        <v>0.27</v>
      </c>
      <c r="N569">
        <v>0.5869565217391305</v>
      </c>
      <c r="O569">
        <v>0</v>
      </c>
      <c r="P569">
        <v>0</v>
      </c>
      <c r="Q569">
        <v>0.249202944756825</v>
      </c>
      <c r="R569" t="s">
        <v>776</v>
      </c>
      <c r="S569" t="s">
        <v>780</v>
      </c>
      <c r="T569">
        <v>6523.345185</v>
      </c>
      <c r="U569" s="2">
        <v>44462</v>
      </c>
      <c r="V569" t="s">
        <v>794</v>
      </c>
    </row>
    <row r="570" spans="1:22">
      <c r="A570" s="1" t="s">
        <v>590</v>
      </c>
      <c r="B570">
        <f>HYPERLINK("https://www.suredividend.com/sure-analysis-BRX/","Brixmor Property Group Inc")</f>
        <v>0</v>
      </c>
      <c r="C570">
        <v>23.6</v>
      </c>
      <c r="D570">
        <v>20</v>
      </c>
      <c r="E570">
        <v>1.18</v>
      </c>
      <c r="F570">
        <v>0.03644067796610169</v>
      </c>
      <c r="G570">
        <v>-0.03256098310273881</v>
      </c>
      <c r="H570">
        <v>0.006</v>
      </c>
      <c r="I570">
        <v>0.0168766356502541</v>
      </c>
      <c r="J570" t="s">
        <v>486</v>
      </c>
      <c r="K570" t="s">
        <v>378</v>
      </c>
      <c r="L570">
        <v>1.73</v>
      </c>
      <c r="M570">
        <v>0.86</v>
      </c>
      <c r="N570">
        <v>0.4971098265895953</v>
      </c>
      <c r="O570">
        <v>0</v>
      </c>
      <c r="P570">
        <v>0.05425073941302982</v>
      </c>
      <c r="Q570">
        <v>1.149872042424634</v>
      </c>
      <c r="R570" t="s">
        <v>778</v>
      </c>
      <c r="S570" t="s">
        <v>790</v>
      </c>
      <c r="T570">
        <v>6910.680317</v>
      </c>
      <c r="U570" s="2">
        <v>44421</v>
      </c>
      <c r="V570" t="s">
        <v>801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111.18</v>
      </c>
      <c r="D571">
        <v>74</v>
      </c>
      <c r="E571">
        <v>1.502432432432433</v>
      </c>
      <c r="F571">
        <v>0.007195538765965102</v>
      </c>
      <c r="G571">
        <v>-0.07819085990993091</v>
      </c>
      <c r="H571">
        <v>0.09</v>
      </c>
      <c r="I571">
        <v>0.01381418235499066</v>
      </c>
      <c r="J571" t="s">
        <v>486</v>
      </c>
      <c r="K571" t="s">
        <v>774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0.5059725688155601</v>
      </c>
      <c r="R571" t="s">
        <v>776</v>
      </c>
      <c r="S571" t="s">
        <v>783</v>
      </c>
      <c r="T571">
        <v>5774.356328</v>
      </c>
      <c r="U571" s="2">
        <v>44424</v>
      </c>
      <c r="V571" t="s">
        <v>793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202.79</v>
      </c>
      <c r="D572">
        <v>140</v>
      </c>
      <c r="E572">
        <v>1.4485</v>
      </c>
      <c r="F572">
        <v>0.02209181912323093</v>
      </c>
      <c r="G572">
        <v>-0.07142646866851288</v>
      </c>
      <c r="H572">
        <v>0.06</v>
      </c>
      <c r="I572">
        <v>0.01094588726114099</v>
      </c>
      <c r="J572" t="s">
        <v>486</v>
      </c>
      <c r="K572" t="s">
        <v>774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0.27536257549242</v>
      </c>
      <c r="R572" t="s">
        <v>778</v>
      </c>
      <c r="S572" t="s">
        <v>790</v>
      </c>
      <c r="T572">
        <v>30723.998748</v>
      </c>
      <c r="U572" s="2">
        <v>44409</v>
      </c>
      <c r="V572" t="s">
        <v>797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89.31</v>
      </c>
      <c r="D573">
        <v>72</v>
      </c>
      <c r="E573">
        <v>1.240416666666667</v>
      </c>
      <c r="F573">
        <v>0.01847497480685253</v>
      </c>
      <c r="G573">
        <v>-0.04217430941199318</v>
      </c>
      <c r="H573">
        <v>0.03</v>
      </c>
      <c r="I573">
        <v>0.01009545167806358</v>
      </c>
      <c r="J573" t="s">
        <v>486</v>
      </c>
      <c r="K573" t="s">
        <v>774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1.447189636717128</v>
      </c>
      <c r="R573" t="s">
        <v>776</v>
      </c>
      <c r="S573" t="s">
        <v>789</v>
      </c>
      <c r="T573">
        <v>52325.547181</v>
      </c>
      <c r="U573" s="2">
        <v>44417</v>
      </c>
      <c r="V573" t="s">
        <v>802</v>
      </c>
    </row>
    <row r="574" spans="1:22">
      <c r="A574" s="1" t="s">
        <v>594</v>
      </c>
      <c r="B574">
        <f>HYPERLINK("https://www.suredividend.com/sure-analysis-TRSWF/","TransAlta Renewables, Inc.")</f>
        <v>0</v>
      </c>
      <c r="C574">
        <v>15.5357</v>
      </c>
      <c r="D574">
        <v>11</v>
      </c>
      <c r="E574">
        <v>1.412336363636364</v>
      </c>
      <c r="F574">
        <v>0.04891958521341169</v>
      </c>
      <c r="G574">
        <v>-0.06671911313913559</v>
      </c>
      <c r="H574">
        <v>0.02</v>
      </c>
      <c r="I574">
        <v>0.006711297780088943</v>
      </c>
      <c r="J574" t="s">
        <v>486</v>
      </c>
      <c r="K574" t="s">
        <v>773</v>
      </c>
      <c r="L574">
        <v>0.97</v>
      </c>
      <c r="M574">
        <v>0.76</v>
      </c>
      <c r="N574">
        <v>0.7835051546391752</v>
      </c>
      <c r="O574">
        <v>0</v>
      </c>
      <c r="P574">
        <v>0.01031145931793609</v>
      </c>
      <c r="Q574">
        <v>0.161925601750547</v>
      </c>
      <c r="R574" t="s">
        <v>776</v>
      </c>
      <c r="S574" t="s">
        <v>787</v>
      </c>
      <c r="T574">
        <v>4251.139394</v>
      </c>
      <c r="U574" s="2">
        <v>44419</v>
      </c>
      <c r="V574" t="s">
        <v>793</v>
      </c>
    </row>
    <row r="575" spans="1:22">
      <c r="A575" s="1" t="s">
        <v>595</v>
      </c>
      <c r="B575">
        <f>HYPERLINK("https://www.suredividend.com/sure-analysis-EXC/","Exelon Corp.")</f>
        <v>0</v>
      </c>
      <c r="C575">
        <v>49.89</v>
      </c>
      <c r="D575">
        <v>38</v>
      </c>
      <c r="E575">
        <v>1.312894736842105</v>
      </c>
      <c r="F575">
        <v>0.03066746843054721</v>
      </c>
      <c r="G575">
        <v>-0.05299119156472565</v>
      </c>
      <c r="H575">
        <v>0.02</v>
      </c>
      <c r="I575">
        <v>0.0007553468036092248</v>
      </c>
      <c r="J575" t="s">
        <v>486</v>
      </c>
      <c r="K575" t="s">
        <v>486</v>
      </c>
      <c r="L575">
        <v>2.8</v>
      </c>
      <c r="M575">
        <v>1.53</v>
      </c>
      <c r="N575">
        <v>0.5464285714285715</v>
      </c>
      <c r="O575">
        <v>5</v>
      </c>
      <c r="P575">
        <v>0.02009132612636422</v>
      </c>
      <c r="Q575">
        <v>0.226234173553617</v>
      </c>
      <c r="R575" t="s">
        <v>776</v>
      </c>
      <c r="S575" t="s">
        <v>787</v>
      </c>
      <c r="T575">
        <v>48705.844795</v>
      </c>
      <c r="U575" s="2">
        <v>44413</v>
      </c>
      <c r="V575" t="s">
        <v>792</v>
      </c>
    </row>
    <row r="576" spans="1:22">
      <c r="A576" s="1" t="s">
        <v>596</v>
      </c>
      <c r="B576">
        <f>HYPERLINK("https://www.suredividend.com/sure-analysis-CWEN/","Clearway Energy Inc")</f>
        <v>0</v>
      </c>
      <c r="C576">
        <v>31.23</v>
      </c>
      <c r="D576">
        <v>20</v>
      </c>
      <c r="E576">
        <v>1.5615</v>
      </c>
      <c r="F576">
        <v>0.04290746077489593</v>
      </c>
      <c r="G576">
        <v>-0.08527278107602843</v>
      </c>
      <c r="H576">
        <v>0.03</v>
      </c>
      <c r="I576">
        <v>-0.001738775833948214</v>
      </c>
      <c r="J576" t="s">
        <v>486</v>
      </c>
      <c r="K576" t="s">
        <v>378</v>
      </c>
      <c r="L576">
        <v>2.71</v>
      </c>
      <c r="M576">
        <v>1.34</v>
      </c>
      <c r="N576">
        <v>0.4944649446494465</v>
      </c>
      <c r="O576">
        <v>1</v>
      </c>
      <c r="P576">
        <v>0.04997331683701267</v>
      </c>
      <c r="Q576">
        <v>0.100830735814727</v>
      </c>
      <c r="R576" t="s">
        <v>776</v>
      </c>
      <c r="S576" t="s">
        <v>787</v>
      </c>
      <c r="T576">
        <v>3572.565558</v>
      </c>
      <c r="U576" s="2">
        <v>44414</v>
      </c>
      <c r="V576" t="s">
        <v>793</v>
      </c>
    </row>
    <row r="577" spans="1:22">
      <c r="A577" s="1" t="s">
        <v>597</v>
      </c>
      <c r="B577">
        <f>HYPERLINK("https://www.suredividend.com/sure-analysis-LXP/","Lexington Realty Trust")</f>
        <v>0</v>
      </c>
      <c r="C577">
        <v>14.61</v>
      </c>
      <c r="D577">
        <v>11</v>
      </c>
      <c r="E577">
        <v>1.328181818181818</v>
      </c>
      <c r="F577">
        <v>0.02943189596167009</v>
      </c>
      <c r="G577">
        <v>-0.05518127056576083</v>
      </c>
      <c r="H577">
        <v>0.02</v>
      </c>
      <c r="I577">
        <v>-0.003521981592905621</v>
      </c>
      <c r="J577" t="s">
        <v>486</v>
      </c>
      <c r="K577" t="s">
        <v>486</v>
      </c>
      <c r="L577">
        <v>0.76</v>
      </c>
      <c r="M577">
        <v>0.43</v>
      </c>
      <c r="N577">
        <v>0.5657894736842105</v>
      </c>
      <c r="O577">
        <v>1</v>
      </c>
      <c r="P577">
        <v>0.00913393693363318</v>
      </c>
      <c r="Q577">
        <v>0.417177250420432</v>
      </c>
      <c r="R577" t="s">
        <v>778</v>
      </c>
      <c r="S577" t="s">
        <v>790</v>
      </c>
      <c r="T577">
        <v>4001.244384</v>
      </c>
      <c r="U577" s="2">
        <v>44425</v>
      </c>
      <c r="V577" t="s">
        <v>793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60.97</v>
      </c>
      <c r="D578">
        <v>53</v>
      </c>
      <c r="E578">
        <v>1.150377358490566</v>
      </c>
      <c r="F578">
        <v>0.01968181072658685</v>
      </c>
      <c r="G578">
        <v>-0.02762914115964732</v>
      </c>
      <c r="H578">
        <v>0</v>
      </c>
      <c r="I578">
        <v>-0.006547371148764469</v>
      </c>
      <c r="J578" t="s">
        <v>486</v>
      </c>
      <c r="K578" t="s">
        <v>486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1.073733528756357</v>
      </c>
      <c r="R578" t="s">
        <v>776</v>
      </c>
      <c r="S578" t="s">
        <v>782</v>
      </c>
      <c r="T578">
        <v>12690.898053</v>
      </c>
      <c r="U578" s="2">
        <v>44427</v>
      </c>
      <c r="V578" t="s">
        <v>795</v>
      </c>
    </row>
    <row r="579" spans="1:22">
      <c r="A579" s="1" t="s">
        <v>599</v>
      </c>
      <c r="B579">
        <f>HYPERLINK("https://www.suredividend.com/sure-analysis-WPM/","Wheaton Precious Metals Corp")</f>
        <v>0</v>
      </c>
      <c r="C579">
        <v>40.83</v>
      </c>
      <c r="D579">
        <v>42</v>
      </c>
      <c r="E579">
        <v>0.9721428571428571</v>
      </c>
      <c r="F579">
        <v>0.01469507714915503</v>
      </c>
      <c r="G579">
        <v>0.005666496791038922</v>
      </c>
      <c r="H579">
        <v>-0.04</v>
      </c>
      <c r="I579">
        <v>-0.01727343977977169</v>
      </c>
      <c r="J579" t="s">
        <v>486</v>
      </c>
      <c r="K579" t="s">
        <v>774</v>
      </c>
      <c r="L579">
        <v>1.5</v>
      </c>
      <c r="M579">
        <v>0.6</v>
      </c>
      <c r="N579">
        <v>0.4</v>
      </c>
      <c r="O579">
        <v>2</v>
      </c>
      <c r="P579">
        <v>0.01924487649145656</v>
      </c>
      <c r="Q579">
        <v>-0.166827504241032</v>
      </c>
      <c r="R579" t="s">
        <v>776</v>
      </c>
      <c r="S579" t="s">
        <v>782</v>
      </c>
      <c r="T579">
        <v>18475.304865</v>
      </c>
      <c r="U579" s="2">
        <v>44428</v>
      </c>
      <c r="V579" t="s">
        <v>795</v>
      </c>
    </row>
    <row r="580" spans="1:22">
      <c r="A580" s="1" t="s">
        <v>600</v>
      </c>
      <c r="B580">
        <f>HYPERLINK("https://www.suredividend.com/sure-analysis-CNQ/","Canadian Natural Resources Ltd.")</f>
        <v>0</v>
      </c>
      <c r="C580">
        <v>42.41</v>
      </c>
      <c r="D580">
        <v>40</v>
      </c>
      <c r="E580">
        <v>1.06025</v>
      </c>
      <c r="F580">
        <v>0.03584060363121905</v>
      </c>
      <c r="G580">
        <v>-0.01163275602836444</v>
      </c>
      <c r="H580">
        <v>-0.05</v>
      </c>
      <c r="I580">
        <v>-0.01768811817551563</v>
      </c>
      <c r="J580" t="s">
        <v>486</v>
      </c>
      <c r="K580" t="s">
        <v>378</v>
      </c>
      <c r="L580">
        <v>3.3</v>
      </c>
      <c r="M580">
        <v>1.52</v>
      </c>
      <c r="N580">
        <v>0.4606060606060606</v>
      </c>
      <c r="O580">
        <v>5</v>
      </c>
      <c r="P580">
        <v>0.01031145931793609</v>
      </c>
      <c r="Q580">
        <v>1.520833333333333</v>
      </c>
      <c r="R580" t="s">
        <v>776</v>
      </c>
      <c r="S580" t="s">
        <v>789</v>
      </c>
      <c r="T580">
        <v>49887.194369</v>
      </c>
      <c r="U580" s="2">
        <v>44439</v>
      </c>
      <c r="V580" t="s">
        <v>796</v>
      </c>
    </row>
    <row r="581" spans="1:22">
      <c r="A581" s="1" t="s">
        <v>601</v>
      </c>
      <c r="B581">
        <f>HYPERLINK("https://www.suredividend.com/sure-analysis-ACN/","Accenture plc")</f>
        <v>0</v>
      </c>
      <c r="C581">
        <v>343.18</v>
      </c>
      <c r="D581">
        <v>201</v>
      </c>
      <c r="E581">
        <v>1.707363184079602</v>
      </c>
      <c r="F581">
        <v>0.01130602016434524</v>
      </c>
      <c r="G581">
        <v>-0.1014653745581769</v>
      </c>
      <c r="H581">
        <v>0.075</v>
      </c>
      <c r="I581">
        <v>-0.01815275617521861</v>
      </c>
      <c r="J581" t="s">
        <v>486</v>
      </c>
      <c r="K581" t="s">
        <v>774</v>
      </c>
      <c r="L581">
        <v>10.04</v>
      </c>
      <c r="M581">
        <v>3.88</v>
      </c>
      <c r="N581">
        <v>0.3864541832669323</v>
      </c>
      <c r="O581">
        <v>11</v>
      </c>
      <c r="P581">
        <v>0.07996237680867235</v>
      </c>
      <c r="Q581">
        <v>0.50421666493576</v>
      </c>
      <c r="R581" t="s">
        <v>776</v>
      </c>
      <c r="S581" t="s">
        <v>784</v>
      </c>
      <c r="T581">
        <v>227799.670705</v>
      </c>
      <c r="U581" s="2">
        <v>44476</v>
      </c>
      <c r="V581" t="s">
        <v>794</v>
      </c>
    </row>
    <row r="582" spans="1:22">
      <c r="A582" s="1" t="s">
        <v>602</v>
      </c>
      <c r="B582">
        <f>HYPERLINK("https://www.suredividend.com/sure-analysis-SLB/","Schlumberger Ltd.")</f>
        <v>0</v>
      </c>
      <c r="C582">
        <v>34.16</v>
      </c>
      <c r="D582">
        <v>20</v>
      </c>
      <c r="E582">
        <v>1.708</v>
      </c>
      <c r="F582">
        <v>0.01463700234192038</v>
      </c>
      <c r="G582">
        <v>-0.1015323870300848</v>
      </c>
      <c r="H582">
        <v>0.07000000000000001</v>
      </c>
      <c r="I582">
        <v>-0.01844196619336091</v>
      </c>
      <c r="J582" t="s">
        <v>486</v>
      </c>
      <c r="K582" t="s">
        <v>774</v>
      </c>
      <c r="L582">
        <v>1.1</v>
      </c>
      <c r="M582">
        <v>0.5</v>
      </c>
      <c r="N582">
        <v>0.4545454545454545</v>
      </c>
      <c r="O582">
        <v>0</v>
      </c>
      <c r="P582">
        <v>0.06961037572506878</v>
      </c>
      <c r="Q582">
        <v>1.295095246452728</v>
      </c>
      <c r="R582" t="s">
        <v>776</v>
      </c>
      <c r="S582" t="s">
        <v>789</v>
      </c>
      <c r="T582">
        <v>47546.722272</v>
      </c>
      <c r="U582" s="2">
        <v>44400</v>
      </c>
      <c r="V582" t="s">
        <v>796</v>
      </c>
    </row>
    <row r="583" spans="1:22">
      <c r="A583" s="1" t="s">
        <v>603</v>
      </c>
      <c r="B583">
        <f>HYPERLINK("https://www.suredividend.com/sure-analysis-JCI/","Johnson Controls International plc")</f>
        <v>0</v>
      </c>
      <c r="C583">
        <v>72.09999999999999</v>
      </c>
      <c r="D583">
        <v>42</v>
      </c>
      <c r="E583">
        <v>1.716666666666667</v>
      </c>
      <c r="F583">
        <v>0.01497919556171984</v>
      </c>
      <c r="G583">
        <v>-0.1024414151951746</v>
      </c>
      <c r="H583">
        <v>0.07000000000000001</v>
      </c>
      <c r="I583">
        <v>-0.01889891472758309</v>
      </c>
      <c r="J583" t="s">
        <v>486</v>
      </c>
      <c r="K583" t="s">
        <v>774</v>
      </c>
      <c r="L583">
        <v>2.65</v>
      </c>
      <c r="M583">
        <v>1.08</v>
      </c>
      <c r="N583">
        <v>0.4075471698113208</v>
      </c>
      <c r="O583">
        <v>1</v>
      </c>
      <c r="P583">
        <v>0.06932726018096602</v>
      </c>
      <c r="Q583">
        <v>0.6870788218369041</v>
      </c>
      <c r="R583" t="s">
        <v>776</v>
      </c>
      <c r="S583" t="s">
        <v>783</v>
      </c>
      <c r="T583">
        <v>50781.588597</v>
      </c>
      <c r="U583" s="2">
        <v>44413</v>
      </c>
      <c r="V583" t="s">
        <v>797</v>
      </c>
    </row>
    <row r="584" spans="1:22">
      <c r="A584" s="1" t="s">
        <v>604</v>
      </c>
      <c r="B584">
        <f>HYPERLINK("https://www.suredividend.com/sure-analysis-CME/","CME Group Inc")</f>
        <v>0</v>
      </c>
      <c r="C584">
        <v>213.93</v>
      </c>
      <c r="D584">
        <v>134.6</v>
      </c>
      <c r="E584">
        <v>1.589375928677563</v>
      </c>
      <c r="F584">
        <v>0.01682793437105595</v>
      </c>
      <c r="G584">
        <v>-0.08850419602236492</v>
      </c>
      <c r="H584">
        <v>0.051</v>
      </c>
      <c r="I584">
        <v>-0.02046804000868685</v>
      </c>
      <c r="J584" t="s">
        <v>486</v>
      </c>
      <c r="K584" t="s">
        <v>774</v>
      </c>
      <c r="L584">
        <v>6.73</v>
      </c>
      <c r="M584">
        <v>3.6</v>
      </c>
      <c r="N584">
        <v>0.5349182763744428</v>
      </c>
      <c r="O584">
        <v>17</v>
      </c>
      <c r="P584">
        <v>0.04047680696561917</v>
      </c>
      <c r="Q584">
        <v>0.301905734406314</v>
      </c>
      <c r="R584" t="s">
        <v>776</v>
      </c>
      <c r="S584" t="s">
        <v>786</v>
      </c>
      <c r="T584">
        <v>76100.734471</v>
      </c>
      <c r="U584" s="2">
        <v>44421</v>
      </c>
      <c r="V584" t="s">
        <v>800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39.72</v>
      </c>
      <c r="D585">
        <v>28</v>
      </c>
      <c r="E585">
        <v>1.418571428571429</v>
      </c>
      <c r="F585">
        <v>0.01007049345417925</v>
      </c>
      <c r="G585">
        <v>-0.06754097159837602</v>
      </c>
      <c r="H585">
        <v>0.03</v>
      </c>
      <c r="I585">
        <v>-0.02801315951255301</v>
      </c>
      <c r="J585" t="s">
        <v>486</v>
      </c>
      <c r="K585" t="s">
        <v>774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0.356517877587271</v>
      </c>
      <c r="R585" t="s">
        <v>778</v>
      </c>
      <c r="S585" t="s">
        <v>790</v>
      </c>
      <c r="T585">
        <v>12598.342536</v>
      </c>
      <c r="U585" s="2">
        <v>44474</v>
      </c>
      <c r="V585" t="s">
        <v>792</v>
      </c>
    </row>
    <row r="586" spans="1:22">
      <c r="A586" s="1" t="s">
        <v>606</v>
      </c>
      <c r="B586">
        <f>HYPERLINK("https://www.suredividend.com/sure-analysis-ETN/","Eaton Corporation plc")</f>
        <v>0</v>
      </c>
      <c r="C586">
        <v>161.27</v>
      </c>
      <c r="D586">
        <v>101</v>
      </c>
      <c r="E586">
        <v>1.596732673267327</v>
      </c>
      <c r="F586">
        <v>0.01885037514726855</v>
      </c>
      <c r="G586">
        <v>-0.08934566865840998</v>
      </c>
      <c r="H586">
        <v>0.04</v>
      </c>
      <c r="I586">
        <v>-0.02859515008809288</v>
      </c>
      <c r="J586" t="s">
        <v>486</v>
      </c>
      <c r="K586" t="s">
        <v>774</v>
      </c>
      <c r="L586">
        <v>6.73</v>
      </c>
      <c r="M586">
        <v>3.04</v>
      </c>
      <c r="N586">
        <v>0.4517087667161961</v>
      </c>
      <c r="O586">
        <v>12</v>
      </c>
      <c r="P586">
        <v>0.02975477857041309</v>
      </c>
      <c r="Q586">
        <v>0.5108355308839291</v>
      </c>
      <c r="R586" t="s">
        <v>776</v>
      </c>
      <c r="S586" t="s">
        <v>783</v>
      </c>
      <c r="T586">
        <v>64383.769311</v>
      </c>
      <c r="U586" s="2">
        <v>44413</v>
      </c>
      <c r="V586" t="s">
        <v>792</v>
      </c>
    </row>
    <row r="587" spans="1:22">
      <c r="A587" s="1" t="s">
        <v>607</v>
      </c>
      <c r="B587">
        <f>HYPERLINK("https://www.suredividend.com/sure-analysis-COP/","Conoco Phillips")</f>
        <v>0</v>
      </c>
      <c r="C587">
        <v>74.5</v>
      </c>
      <c r="D587">
        <v>53</v>
      </c>
      <c r="E587">
        <v>1.405660377358491</v>
      </c>
      <c r="F587">
        <v>0.02469798657718121</v>
      </c>
      <c r="G587">
        <v>-0.06583429520945394</v>
      </c>
      <c r="H587">
        <v>0</v>
      </c>
      <c r="I587">
        <v>-0.03272564362852159</v>
      </c>
      <c r="J587" t="s">
        <v>486</v>
      </c>
      <c r="K587" t="s">
        <v>486</v>
      </c>
      <c r="L587">
        <v>4.2</v>
      </c>
      <c r="M587">
        <v>1.84</v>
      </c>
      <c r="N587">
        <v>0.4380952380952381</v>
      </c>
      <c r="O587">
        <v>6</v>
      </c>
      <c r="P587">
        <v>0.03066894385040531</v>
      </c>
      <c r="Q587">
        <v>1.249911994270523</v>
      </c>
      <c r="R587" t="s">
        <v>776</v>
      </c>
      <c r="S587" t="s">
        <v>789</v>
      </c>
      <c r="T587">
        <v>99279.54563399999</v>
      </c>
      <c r="U587" s="2">
        <v>44428</v>
      </c>
      <c r="V587" t="s">
        <v>796</v>
      </c>
    </row>
    <row r="588" spans="1:22">
      <c r="A588" s="1" t="s">
        <v>608</v>
      </c>
      <c r="B588">
        <f>HYPERLINK("https://www.suredividend.com/sure-analysis-CPT/","Camden Property Trust")</f>
        <v>0</v>
      </c>
      <c r="C588">
        <v>158.93</v>
      </c>
      <c r="D588">
        <v>95</v>
      </c>
      <c r="E588">
        <v>1.672947368421053</v>
      </c>
      <c r="F588">
        <v>0.02088969986786635</v>
      </c>
      <c r="G588">
        <v>-0.09779850091568132</v>
      </c>
      <c r="H588">
        <v>0.04</v>
      </c>
      <c r="I588">
        <v>-0.03313760325185755</v>
      </c>
      <c r="J588" t="s">
        <v>486</v>
      </c>
      <c r="K588" t="s">
        <v>774</v>
      </c>
      <c r="L588">
        <v>5.27</v>
      </c>
      <c r="M588">
        <v>3.32</v>
      </c>
      <c r="N588">
        <v>0.6299810246679317</v>
      </c>
      <c r="O588">
        <v>10</v>
      </c>
      <c r="P588">
        <v>0.04003668004870131</v>
      </c>
      <c r="Q588">
        <v>0.7504130332200301</v>
      </c>
      <c r="R588" t="s">
        <v>778</v>
      </c>
      <c r="S588" t="s">
        <v>790</v>
      </c>
      <c r="T588">
        <v>15781.212266</v>
      </c>
      <c r="U588" s="2">
        <v>44413</v>
      </c>
      <c r="V588" t="s">
        <v>797</v>
      </c>
    </row>
    <row r="589" spans="1:22">
      <c r="A589" s="1" t="s">
        <v>609</v>
      </c>
      <c r="B589">
        <f>HYPERLINK("https://www.suredividend.com/sure-analysis-MAA/","Mid-America Apartment Communities, Inc.")</f>
        <v>0</v>
      </c>
      <c r="C589">
        <v>198.56</v>
      </c>
      <c r="D589">
        <v>106</v>
      </c>
      <c r="E589">
        <v>1.873207547169811</v>
      </c>
      <c r="F589">
        <v>0.02064867042707494</v>
      </c>
      <c r="G589">
        <v>-0.1179710897654671</v>
      </c>
      <c r="H589">
        <v>0.06</v>
      </c>
      <c r="I589">
        <v>-0.0357133817341686</v>
      </c>
      <c r="J589" t="s">
        <v>486</v>
      </c>
      <c r="K589" t="s">
        <v>774</v>
      </c>
      <c r="L589">
        <v>6.85</v>
      </c>
      <c r="M589">
        <v>4.1</v>
      </c>
      <c r="N589">
        <v>0.5985401459854014</v>
      </c>
      <c r="O589">
        <v>10</v>
      </c>
      <c r="P589">
        <v>0.04868220215701768</v>
      </c>
      <c r="Q589">
        <v>0.697608173541681</v>
      </c>
      <c r="R589" t="s">
        <v>778</v>
      </c>
      <c r="S589" t="s">
        <v>790</v>
      </c>
      <c r="T589">
        <v>22703.57979</v>
      </c>
      <c r="U589" s="2">
        <v>44427</v>
      </c>
      <c r="V589" t="s">
        <v>796</v>
      </c>
    </row>
    <row r="590" spans="1:22">
      <c r="A590" s="1" t="s">
        <v>610</v>
      </c>
      <c r="B590">
        <f>HYPERLINK("https://www.suredividend.com/sure-analysis-KIM/","Kimco Realty Corp.")</f>
        <v>0</v>
      </c>
      <c r="C590">
        <v>22.93</v>
      </c>
      <c r="D590">
        <v>12.7</v>
      </c>
      <c r="E590">
        <v>1.805511811023622</v>
      </c>
      <c r="F590">
        <v>0.02965547317924117</v>
      </c>
      <c r="G590">
        <v>-0.1114539649948408</v>
      </c>
      <c r="H590">
        <v>0.034</v>
      </c>
      <c r="I590">
        <v>-0.03643478704370484</v>
      </c>
      <c r="J590" t="s">
        <v>486</v>
      </c>
      <c r="K590" t="s">
        <v>486</v>
      </c>
      <c r="L590">
        <v>1.27</v>
      </c>
      <c r="M590">
        <v>0.68</v>
      </c>
      <c r="N590">
        <v>0.5354330708661418</v>
      </c>
      <c r="O590">
        <v>0</v>
      </c>
      <c r="P590">
        <v>0.0576615571948691</v>
      </c>
      <c r="Q590">
        <v>1.11524366178654</v>
      </c>
      <c r="R590" t="s">
        <v>778</v>
      </c>
      <c r="S590" t="s">
        <v>790</v>
      </c>
      <c r="T590">
        <v>13796.160563</v>
      </c>
      <c r="U590" s="2">
        <v>44415</v>
      </c>
      <c r="V590" t="s">
        <v>800</v>
      </c>
    </row>
    <row r="591" spans="1:22">
      <c r="A591" s="1" t="s">
        <v>611</v>
      </c>
      <c r="B591">
        <f>HYPERLINK("https://www.suredividend.com/sure-analysis-OGZPY/","Gazprom")</f>
        <v>0</v>
      </c>
      <c r="C591">
        <v>10.21</v>
      </c>
      <c r="D591">
        <v>4.25</v>
      </c>
      <c r="E591">
        <v>2.402352941176471</v>
      </c>
      <c r="F591">
        <v>0.03330068560235064</v>
      </c>
      <c r="G591">
        <v>-0.160786159755835</v>
      </c>
      <c r="H591">
        <v>0.08</v>
      </c>
      <c r="I591">
        <v>-0.03827485579746415</v>
      </c>
      <c r="J591" t="s">
        <v>486</v>
      </c>
      <c r="K591" t="s">
        <v>486</v>
      </c>
      <c r="L591">
        <v>0.85</v>
      </c>
      <c r="M591">
        <v>0.34</v>
      </c>
      <c r="N591">
        <v>0.4</v>
      </c>
      <c r="O591">
        <v>0</v>
      </c>
      <c r="P591">
        <v>0.0801851873035635</v>
      </c>
      <c r="Q591">
        <v>1.478846153846153</v>
      </c>
      <c r="R591" t="s">
        <v>776</v>
      </c>
      <c r="S591" t="s">
        <v>789</v>
      </c>
      <c r="T591">
        <v>122060.632512</v>
      </c>
      <c r="U591" s="2">
        <v>44442</v>
      </c>
      <c r="V591" t="s">
        <v>796</v>
      </c>
    </row>
    <row r="592" spans="1:22">
      <c r="A592" s="1" t="s">
        <v>612</v>
      </c>
      <c r="B592">
        <f>HYPERLINK("https://www.suredividend.com/sure-analysis-SCHL/","Scholastic Corp.")</f>
        <v>0</v>
      </c>
      <c r="C592">
        <v>35.03</v>
      </c>
      <c r="D592">
        <v>20</v>
      </c>
      <c r="E592">
        <v>1.7515</v>
      </c>
      <c r="F592">
        <v>0.01712817584927205</v>
      </c>
      <c r="G592">
        <v>-0.1060402370711571</v>
      </c>
      <c r="H592">
        <v>0.05</v>
      </c>
      <c r="I592">
        <v>-0.04024800112451743</v>
      </c>
      <c r="J592" t="s">
        <v>486</v>
      </c>
      <c r="K592" t="s">
        <v>774</v>
      </c>
      <c r="L592">
        <v>1.2</v>
      </c>
      <c r="M592">
        <v>0.6</v>
      </c>
      <c r="N592">
        <v>0.5</v>
      </c>
      <c r="O592">
        <v>0</v>
      </c>
      <c r="P592">
        <v>0</v>
      </c>
      <c r="Q592">
        <v>0.694600337300263</v>
      </c>
      <c r="R592" t="s">
        <v>776</v>
      </c>
      <c r="S592" t="s">
        <v>780</v>
      </c>
      <c r="T592">
        <v>1165.052559</v>
      </c>
      <c r="U592" s="2">
        <v>44401</v>
      </c>
      <c r="V592" t="s">
        <v>794</v>
      </c>
    </row>
    <row r="593" spans="1:22">
      <c r="A593" s="1" t="s">
        <v>613</v>
      </c>
      <c r="B593">
        <f>HYPERLINK("https://www.suredividend.com/sure-analysis-LAMR/","Lamar Advertising Co")</f>
        <v>0</v>
      </c>
      <c r="C593">
        <v>119.38</v>
      </c>
      <c r="D593">
        <v>75</v>
      </c>
      <c r="E593">
        <v>1.591733333333333</v>
      </c>
      <c r="F593">
        <v>0.02512983749371754</v>
      </c>
      <c r="G593">
        <v>-0.08877434661770511</v>
      </c>
      <c r="H593">
        <v>0.008</v>
      </c>
      <c r="I593">
        <v>-0.04278890787609391</v>
      </c>
      <c r="J593" t="s">
        <v>486</v>
      </c>
      <c r="K593" t="s">
        <v>486</v>
      </c>
      <c r="L593">
        <v>6.25</v>
      </c>
      <c r="M593">
        <v>3</v>
      </c>
      <c r="N593">
        <v>0.48</v>
      </c>
      <c r="O593">
        <v>0</v>
      </c>
      <c r="P593">
        <v>0.05922384104881218</v>
      </c>
      <c r="Q593">
        <v>0.871239026321121</v>
      </c>
      <c r="R593" t="s">
        <v>778</v>
      </c>
      <c r="S593" t="s">
        <v>790</v>
      </c>
      <c r="T593">
        <v>10336.020556</v>
      </c>
      <c r="U593" s="2">
        <v>44431</v>
      </c>
      <c r="V593" t="s">
        <v>800</v>
      </c>
    </row>
    <row r="594" spans="1:22">
      <c r="A594" s="1" t="s">
        <v>614</v>
      </c>
      <c r="B594">
        <f>HYPERLINK("https://www.suredividend.com/sure-analysis-PPL/","PPL Corp")</f>
        <v>0</v>
      </c>
      <c r="C594">
        <v>28.55</v>
      </c>
      <c r="D594">
        <v>15</v>
      </c>
      <c r="E594">
        <v>1.903333333333333</v>
      </c>
      <c r="F594">
        <v>0.05814360770577933</v>
      </c>
      <c r="G594">
        <v>-0.1207810715937292</v>
      </c>
      <c r="H594">
        <v>0.02</v>
      </c>
      <c r="I594">
        <v>-0.04297967581087714</v>
      </c>
      <c r="J594" t="s">
        <v>486</v>
      </c>
      <c r="K594" t="s">
        <v>773</v>
      </c>
      <c r="L594">
        <v>1.5</v>
      </c>
      <c r="M594">
        <v>1.66</v>
      </c>
      <c r="N594">
        <v>1.106666666666667</v>
      </c>
      <c r="O594">
        <v>20</v>
      </c>
      <c r="P594">
        <v>-0.08753494271025675</v>
      </c>
      <c r="Q594">
        <v>0.06864517276121601</v>
      </c>
      <c r="R594" t="s">
        <v>776</v>
      </c>
      <c r="S594" t="s">
        <v>787</v>
      </c>
      <c r="T594">
        <v>22203.128051</v>
      </c>
      <c r="U594" s="2">
        <v>44419</v>
      </c>
      <c r="V594" t="s">
        <v>792</v>
      </c>
    </row>
    <row r="595" spans="1:22">
      <c r="A595" s="1" t="s">
        <v>615</v>
      </c>
      <c r="B595">
        <f>HYPERLINK("https://www.suredividend.com/sure-analysis-ARLP/","Alliance Resource Partners, LP")</f>
        <v>0</v>
      </c>
      <c r="C595">
        <v>12.56</v>
      </c>
      <c r="D595">
        <v>5</v>
      </c>
      <c r="E595">
        <v>2.512</v>
      </c>
      <c r="F595">
        <v>0.03184713375796178</v>
      </c>
      <c r="G595">
        <v>-0.168243749905624</v>
      </c>
      <c r="H595">
        <v>0.08</v>
      </c>
      <c r="I595">
        <v>-0.04672861801224437</v>
      </c>
      <c r="J595" t="s">
        <v>486</v>
      </c>
      <c r="K595" t="s">
        <v>486</v>
      </c>
      <c r="L595">
        <v>1</v>
      </c>
      <c r="M595">
        <v>0.4</v>
      </c>
      <c r="N595">
        <v>0.4</v>
      </c>
      <c r="O595">
        <v>0</v>
      </c>
      <c r="P595">
        <v>0.08083252207959757</v>
      </c>
      <c r="Q595">
        <v>3.514690047684971</v>
      </c>
      <c r="R595" t="s">
        <v>777</v>
      </c>
      <c r="S595" t="s">
        <v>789</v>
      </c>
      <c r="T595">
        <v>1493.271871</v>
      </c>
      <c r="U595" s="2">
        <v>44404</v>
      </c>
      <c r="V595" t="s">
        <v>791</v>
      </c>
    </row>
    <row r="596" spans="1:22">
      <c r="A596" s="1" t="s">
        <v>616</v>
      </c>
      <c r="B596">
        <f>HYPERLINK("https://www.suredividend.com/sure-analysis-IIPR/","Innovative Industrial Properties Inc")</f>
        <v>0</v>
      </c>
      <c r="C596">
        <v>240.82</v>
      </c>
      <c r="D596">
        <v>156</v>
      </c>
      <c r="E596">
        <v>1.543717948717949</v>
      </c>
      <c r="F596">
        <v>0.02491487417988539</v>
      </c>
      <c r="G596">
        <v>-0.08317507995664108</v>
      </c>
      <c r="H596">
        <v>0.25</v>
      </c>
      <c r="I596">
        <v>0.1700847102056853</v>
      </c>
      <c r="J596" t="s">
        <v>774</v>
      </c>
      <c r="K596" t="s">
        <v>774</v>
      </c>
      <c r="L596">
        <v>6.5</v>
      </c>
      <c r="M596">
        <v>6</v>
      </c>
      <c r="N596">
        <v>0.9230769230769231</v>
      </c>
      <c r="O596">
        <v>4</v>
      </c>
      <c r="P596">
        <v>0.1900312157009796</v>
      </c>
      <c r="Q596">
        <v>0.8983853599189341</v>
      </c>
      <c r="R596" t="s">
        <v>778</v>
      </c>
      <c r="S596" t="s">
        <v>790</v>
      </c>
      <c r="T596">
        <v>5720.061071</v>
      </c>
      <c r="U596" s="2">
        <v>44413</v>
      </c>
      <c r="V596" t="s">
        <v>791</v>
      </c>
    </row>
    <row r="597" spans="1:22">
      <c r="A597" s="1" t="s">
        <v>617</v>
      </c>
      <c r="B597">
        <f>HYPERLINK("https://www.suredividend.com/sure-analysis-TEF/","Telefonica S.A")</f>
        <v>0</v>
      </c>
      <c r="C597">
        <v>4.38</v>
      </c>
      <c r="D597">
        <v>6.3</v>
      </c>
      <c r="E597">
        <v>0.6952380952380952</v>
      </c>
      <c r="F597">
        <v>0.1095890410958904</v>
      </c>
      <c r="G597">
        <v>0.07540806166779479</v>
      </c>
      <c r="H597">
        <v>0.02</v>
      </c>
      <c r="I597">
        <v>0.1639130013979455</v>
      </c>
      <c r="J597" t="s">
        <v>774</v>
      </c>
      <c r="K597" t="s">
        <v>773</v>
      </c>
      <c r="L597">
        <v>0.7</v>
      </c>
      <c r="M597">
        <v>0.48</v>
      </c>
      <c r="N597">
        <v>0.6857142857142857</v>
      </c>
      <c r="O597">
        <v>0</v>
      </c>
      <c r="P597">
        <v>0</v>
      </c>
      <c r="Q597">
        <v>0.293303882817949</v>
      </c>
      <c r="R597" t="s">
        <v>776</v>
      </c>
      <c r="S597" t="s">
        <v>780</v>
      </c>
      <c r="T597">
        <v>25089.338106</v>
      </c>
      <c r="U597" s="2">
        <v>44434</v>
      </c>
      <c r="V597" t="s">
        <v>794</v>
      </c>
    </row>
    <row r="598" spans="1:22">
      <c r="A598" s="1" t="s">
        <v>618</v>
      </c>
      <c r="B598">
        <f>HYPERLINK("https://www.suredividend.com/sure-analysis-APAM/","Artisan Partners Asset Management Inc")</f>
        <v>0</v>
      </c>
      <c r="C598">
        <v>46.76</v>
      </c>
      <c r="D598">
        <v>61</v>
      </c>
      <c r="E598">
        <v>0.7665573770491803</v>
      </c>
      <c r="F598">
        <v>0.08554319931565441</v>
      </c>
      <c r="G598">
        <v>0.05460801224811362</v>
      </c>
      <c r="H598">
        <v>0.05</v>
      </c>
      <c r="I598">
        <v>0.1635760863568749</v>
      </c>
      <c r="J598" t="s">
        <v>774</v>
      </c>
      <c r="K598" t="s">
        <v>378</v>
      </c>
      <c r="L598">
        <v>5.1</v>
      </c>
      <c r="M598">
        <v>4</v>
      </c>
      <c r="N598">
        <v>0.7843137254901962</v>
      </c>
      <c r="O598">
        <v>2</v>
      </c>
      <c r="P598">
        <v>0.03012896281839894</v>
      </c>
      <c r="Q598">
        <v>0.091934756724889</v>
      </c>
      <c r="R598" t="s">
        <v>776</v>
      </c>
      <c r="S598" t="s">
        <v>786</v>
      </c>
      <c r="T598">
        <v>3062.36779</v>
      </c>
      <c r="U598" s="2">
        <v>44424</v>
      </c>
      <c r="V598" t="s">
        <v>795</v>
      </c>
    </row>
    <row r="599" spans="1:22">
      <c r="A599" s="1" t="s">
        <v>619</v>
      </c>
      <c r="B599">
        <f>HYPERLINK("https://www.suredividend.com/sure-analysis-CLPR/","Clipper Realty Inc")</f>
        <v>0</v>
      </c>
      <c r="C599">
        <v>8.19</v>
      </c>
      <c r="D599">
        <v>11.71</v>
      </c>
      <c r="E599">
        <v>0.6994022203245088</v>
      </c>
      <c r="F599">
        <v>0.0463980463980464</v>
      </c>
      <c r="G599">
        <v>0.07412444070076574</v>
      </c>
      <c r="H599">
        <v>0.055</v>
      </c>
      <c r="I599">
        <v>0.1600364597007353</v>
      </c>
      <c r="J599" t="s">
        <v>774</v>
      </c>
      <c r="K599" t="s">
        <v>486</v>
      </c>
      <c r="L599">
        <v>0.38</v>
      </c>
      <c r="M599">
        <v>0.38</v>
      </c>
      <c r="N599">
        <v>1</v>
      </c>
      <c r="O599">
        <v>0</v>
      </c>
      <c r="P599">
        <v>0</v>
      </c>
      <c r="Q599">
        <v>0.399989642493396</v>
      </c>
      <c r="R599" t="s">
        <v>778</v>
      </c>
      <c r="S599" t="s">
        <v>790</v>
      </c>
      <c r="T599">
        <v>130.272779</v>
      </c>
      <c r="U599" s="2">
        <v>44445</v>
      </c>
      <c r="V599" t="s">
        <v>800</v>
      </c>
    </row>
    <row r="600" spans="1:22">
      <c r="A600" s="1" t="s">
        <v>620</v>
      </c>
      <c r="B600">
        <f>HYPERLINK("https://www.suredividend.com/sure-analysis-ORAN/","Orange.")</f>
        <v>0</v>
      </c>
      <c r="C600">
        <v>11.04</v>
      </c>
      <c r="D600">
        <v>15</v>
      </c>
      <c r="E600">
        <v>0.736</v>
      </c>
      <c r="F600">
        <v>0.09782608695652176</v>
      </c>
      <c r="G600">
        <v>0.06322318187613063</v>
      </c>
      <c r="H600">
        <v>0.02</v>
      </c>
      <c r="I600">
        <v>0.1493210824220985</v>
      </c>
      <c r="J600" t="s">
        <v>774</v>
      </c>
      <c r="K600" t="s">
        <v>773</v>
      </c>
      <c r="L600">
        <v>1.51</v>
      </c>
      <c r="M600">
        <v>1.08</v>
      </c>
      <c r="N600">
        <v>0.7152317880794702</v>
      </c>
      <c r="O600">
        <v>1</v>
      </c>
      <c r="P600">
        <v>0.01087212085035083</v>
      </c>
      <c r="Q600">
        <v>0.085199949070038</v>
      </c>
      <c r="R600" t="s">
        <v>776</v>
      </c>
      <c r="S600" t="s">
        <v>780</v>
      </c>
      <c r="T600">
        <v>29465.417219</v>
      </c>
      <c r="U600" s="2">
        <v>44411</v>
      </c>
      <c r="V600" t="s">
        <v>802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13.57</v>
      </c>
      <c r="D601">
        <v>20</v>
      </c>
      <c r="E601">
        <v>0.6785</v>
      </c>
      <c r="F601">
        <v>0.05895357406042741</v>
      </c>
      <c r="G601">
        <v>0.08066237134515375</v>
      </c>
      <c r="H601">
        <v>0.03</v>
      </c>
      <c r="I601">
        <v>0.1490830972414932</v>
      </c>
      <c r="J601" t="s">
        <v>774</v>
      </c>
      <c r="K601" t="s">
        <v>378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0.38434916362238</v>
      </c>
      <c r="R601" t="s">
        <v>776</v>
      </c>
      <c r="S601" t="s">
        <v>785</v>
      </c>
      <c r="T601">
        <v>2109.382525</v>
      </c>
      <c r="U601" s="2">
        <v>44454</v>
      </c>
      <c r="V601" t="s">
        <v>799</v>
      </c>
    </row>
    <row r="602" spans="1:22">
      <c r="A602" s="1" t="s">
        <v>622</v>
      </c>
      <c r="B602">
        <f>HYPERLINK("https://www.suredividend.com/sure-analysis-SNP/","China Petroleum &amp; Chemical Corp")</f>
        <v>0</v>
      </c>
      <c r="C602">
        <v>51.69</v>
      </c>
      <c r="D602">
        <v>77</v>
      </c>
      <c r="E602">
        <v>0.6712987012987013</v>
      </c>
      <c r="F602">
        <v>0.08705745792222867</v>
      </c>
      <c r="G602">
        <v>0.08297102852416471</v>
      </c>
      <c r="H602">
        <v>0</v>
      </c>
      <c r="I602">
        <v>0.1419806265453738</v>
      </c>
      <c r="J602" t="s">
        <v>774</v>
      </c>
      <c r="K602" t="s">
        <v>773</v>
      </c>
      <c r="L602">
        <v>7.3</v>
      </c>
      <c r="M602">
        <v>4.5</v>
      </c>
      <c r="N602">
        <v>0.6164383561643836</v>
      </c>
      <c r="O602">
        <v>0</v>
      </c>
      <c r="P602">
        <v>0.01299136822423641</v>
      </c>
      <c r="Q602">
        <v>0.448921105866486</v>
      </c>
      <c r="R602" t="s">
        <v>776</v>
      </c>
      <c r="S602" t="s">
        <v>789</v>
      </c>
      <c r="T602">
        <v>13157.280286</v>
      </c>
      <c r="U602" s="2">
        <v>44442</v>
      </c>
      <c r="V602" t="s">
        <v>796</v>
      </c>
    </row>
    <row r="603" spans="1:22">
      <c r="A603" s="1" t="s">
        <v>623</v>
      </c>
      <c r="B603">
        <f>HYPERLINK("https://www.suredividend.com/sure-analysis-SCCO/","Southern Copper Corporation")</f>
        <v>0</v>
      </c>
      <c r="C603">
        <v>65.12</v>
      </c>
      <c r="D603">
        <v>80</v>
      </c>
      <c r="E603">
        <v>0.8140000000000001</v>
      </c>
      <c r="F603">
        <v>0.04299754299754299</v>
      </c>
      <c r="G603">
        <v>0.04201775506512972</v>
      </c>
      <c r="H603">
        <v>0.06</v>
      </c>
      <c r="I603">
        <v>0.1361744366058204</v>
      </c>
      <c r="J603" t="s">
        <v>774</v>
      </c>
      <c r="K603" t="s">
        <v>378</v>
      </c>
      <c r="L603">
        <v>4.46</v>
      </c>
      <c r="M603">
        <v>2.8</v>
      </c>
      <c r="N603">
        <v>0.6278026905829596</v>
      </c>
      <c r="O603">
        <v>0</v>
      </c>
      <c r="P603">
        <v>0.04978904632428516</v>
      </c>
      <c r="Q603">
        <v>0.437950513305548</v>
      </c>
      <c r="R603" t="s">
        <v>776</v>
      </c>
      <c r="S603" t="s">
        <v>782</v>
      </c>
      <c r="T603">
        <v>51185.71082</v>
      </c>
      <c r="U603" s="2">
        <v>44403</v>
      </c>
      <c r="V603" t="s">
        <v>793</v>
      </c>
    </row>
    <row r="604" spans="1:22">
      <c r="A604" s="1" t="s">
        <v>624</v>
      </c>
      <c r="B604">
        <f>HYPERLINK("https://www.suredividend.com/sure-analysis-OHI/","Omega Healthcare Investors, Inc.")</f>
        <v>0</v>
      </c>
      <c r="C604">
        <v>31.39</v>
      </c>
      <c r="D604">
        <v>40</v>
      </c>
      <c r="E604">
        <v>0.7847500000000001</v>
      </c>
      <c r="F604">
        <v>0.08537750876075184</v>
      </c>
      <c r="G604">
        <v>0.04967229625532799</v>
      </c>
      <c r="H604">
        <v>0.02</v>
      </c>
      <c r="I604">
        <v>0.1305712815229561</v>
      </c>
      <c r="J604" t="s">
        <v>774</v>
      </c>
      <c r="K604" t="s">
        <v>773</v>
      </c>
      <c r="L604">
        <v>3.3</v>
      </c>
      <c r="M604">
        <v>2.68</v>
      </c>
      <c r="N604">
        <v>0.8121212121212122</v>
      </c>
      <c r="O604">
        <v>18</v>
      </c>
      <c r="P604">
        <v>0.01023605168466424</v>
      </c>
      <c r="Q604">
        <v>0.105372740737598</v>
      </c>
      <c r="R604" t="s">
        <v>778</v>
      </c>
      <c r="S604" t="s">
        <v>790</v>
      </c>
      <c r="T604">
        <v>7469.633164</v>
      </c>
      <c r="U604" s="2">
        <v>44424</v>
      </c>
      <c r="V604" t="s">
        <v>795</v>
      </c>
    </row>
    <row r="605" spans="1:22">
      <c r="A605" s="1" t="s">
        <v>625</v>
      </c>
      <c r="B605">
        <f>HYPERLINK("https://www.suredividend.com/sure-analysis-PSXP/","Phillips 66 Partners LP")</f>
        <v>0</v>
      </c>
      <c r="C605">
        <v>39.33</v>
      </c>
      <c r="D605">
        <v>44</v>
      </c>
      <c r="E605">
        <v>0.8938636363636363</v>
      </c>
      <c r="F605">
        <v>0.08899059242308671</v>
      </c>
      <c r="G605">
        <v>0.02269408949125529</v>
      </c>
      <c r="H605">
        <v>0.04</v>
      </c>
      <c r="I605">
        <v>0.1255036536418186</v>
      </c>
      <c r="J605" t="s">
        <v>774</v>
      </c>
      <c r="K605" t="s">
        <v>773</v>
      </c>
      <c r="L605">
        <v>4.4</v>
      </c>
      <c r="M605">
        <v>3.5</v>
      </c>
      <c r="N605">
        <v>0.7954545454545454</v>
      </c>
      <c r="O605">
        <v>7</v>
      </c>
      <c r="P605">
        <v>0</v>
      </c>
      <c r="Q605">
        <v>0.8015474363469931</v>
      </c>
      <c r="R605" t="s">
        <v>777</v>
      </c>
      <c r="S605" t="s">
        <v>789</v>
      </c>
      <c r="T605">
        <v>9033.136176</v>
      </c>
      <c r="U605" s="2">
        <v>44428</v>
      </c>
      <c r="V605" t="s">
        <v>796</v>
      </c>
    </row>
    <row r="606" spans="1:22">
      <c r="A606" s="1" t="s">
        <v>626</v>
      </c>
      <c r="B606">
        <f>HYPERLINK("https://www.suredividend.com/sure-analysis-GECC/","Great Elm Capital Corp")</f>
        <v>0</v>
      </c>
      <c r="C606">
        <v>3.51</v>
      </c>
      <c r="D606">
        <v>3.5</v>
      </c>
      <c r="E606">
        <v>1.002857142857143</v>
      </c>
      <c r="F606">
        <v>0.113960113960114</v>
      </c>
      <c r="G606">
        <v>-0.00057045102738984</v>
      </c>
      <c r="H606">
        <v>0.042</v>
      </c>
      <c r="I606">
        <v>0.1240826596910736</v>
      </c>
      <c r="J606" t="s">
        <v>774</v>
      </c>
      <c r="K606" t="s">
        <v>378</v>
      </c>
      <c r="L606">
        <v>0.33</v>
      </c>
      <c r="M606">
        <v>0.4</v>
      </c>
      <c r="N606">
        <v>1.212121212121212</v>
      </c>
      <c r="O606">
        <v>0</v>
      </c>
      <c r="P606">
        <v>0</v>
      </c>
      <c r="Q606">
        <v>0.314553990610328</v>
      </c>
      <c r="R606" t="s">
        <v>779</v>
      </c>
      <c r="S606" t="s">
        <v>786</v>
      </c>
      <c r="T606">
        <v>82.278812</v>
      </c>
      <c r="U606" s="2">
        <v>44421</v>
      </c>
      <c r="V606" t="s">
        <v>800</v>
      </c>
    </row>
    <row r="607" spans="1:22">
      <c r="A607" s="1" t="s">
        <v>627</v>
      </c>
      <c r="B607">
        <f>HYPERLINK("https://www.suredividend.com/sure-analysis-IEP/","Icahn Enterprises L P")</f>
        <v>0</v>
      </c>
      <c r="C607">
        <v>56.46</v>
      </c>
      <c r="D607">
        <v>58</v>
      </c>
      <c r="E607">
        <v>0.9734482758620689</v>
      </c>
      <c r="F607">
        <v>0.1416932341480694</v>
      </c>
      <c r="G607">
        <v>0.005396627157981504</v>
      </c>
      <c r="H607">
        <v>0</v>
      </c>
      <c r="I607">
        <v>0.1165985007141852</v>
      </c>
      <c r="J607" t="s">
        <v>774</v>
      </c>
      <c r="K607" t="s">
        <v>378</v>
      </c>
      <c r="L607">
        <v>8</v>
      </c>
      <c r="M607">
        <v>8</v>
      </c>
      <c r="N607">
        <v>1</v>
      </c>
      <c r="O607">
        <v>0</v>
      </c>
      <c r="P607">
        <v>0</v>
      </c>
      <c r="Q607">
        <v>0.23049408966412</v>
      </c>
      <c r="R607" t="s">
        <v>777</v>
      </c>
      <c r="S607" t="s">
        <v>783</v>
      </c>
      <c r="T607">
        <v>14451.342297</v>
      </c>
      <c r="U607" s="2">
        <v>44416</v>
      </c>
      <c r="V607" t="s">
        <v>791</v>
      </c>
    </row>
    <row r="608" spans="1:22">
      <c r="A608" s="1" t="s">
        <v>628</v>
      </c>
      <c r="B608">
        <f>HYPERLINK("https://www.suredividend.com/sure-analysis-LUMN/","Lumen Technologies Inc")</f>
        <v>0</v>
      </c>
      <c r="C608">
        <v>12.1</v>
      </c>
      <c r="D608">
        <v>15</v>
      </c>
      <c r="E608">
        <v>0.8066666666666666</v>
      </c>
      <c r="F608">
        <v>0.08264462809917356</v>
      </c>
      <c r="G608">
        <v>0.04390548076893097</v>
      </c>
      <c r="H608">
        <v>0.013</v>
      </c>
      <c r="I608">
        <v>0.1165793825991899</v>
      </c>
      <c r="J608" t="s">
        <v>774</v>
      </c>
      <c r="K608" t="s">
        <v>773</v>
      </c>
      <c r="L608">
        <v>1.66</v>
      </c>
      <c r="M608">
        <v>1</v>
      </c>
      <c r="N608">
        <v>0.6024096385542169</v>
      </c>
      <c r="O608">
        <v>0</v>
      </c>
      <c r="P608">
        <v>0</v>
      </c>
      <c r="Q608">
        <v>0.298519966489807</v>
      </c>
      <c r="R608" t="s">
        <v>776</v>
      </c>
      <c r="S608" t="s">
        <v>780</v>
      </c>
      <c r="T608">
        <v>13362.256488</v>
      </c>
      <c r="U608" s="2">
        <v>44413</v>
      </c>
      <c r="V608" t="s">
        <v>793</v>
      </c>
    </row>
    <row r="609" spans="1:22">
      <c r="A609" s="1" t="s">
        <v>629</v>
      </c>
      <c r="B609">
        <f>HYPERLINK("https://www.suredividend.com/sure-analysis-MRCC/","Monroe Capital Corp")</f>
        <v>0</v>
      </c>
      <c r="C609">
        <v>10.19</v>
      </c>
      <c r="D609">
        <v>12.33</v>
      </c>
      <c r="E609">
        <v>0.8264395782643957</v>
      </c>
      <c r="F609">
        <v>0.09813542688910697</v>
      </c>
      <c r="G609">
        <v>0.03886180335574485</v>
      </c>
      <c r="H609">
        <v>0</v>
      </c>
      <c r="I609">
        <v>0.1158269429339065</v>
      </c>
      <c r="J609" t="s">
        <v>774</v>
      </c>
      <c r="K609" t="s">
        <v>773</v>
      </c>
      <c r="L609">
        <v>1.45</v>
      </c>
      <c r="M609">
        <v>1</v>
      </c>
      <c r="N609">
        <v>0.6896551724137931</v>
      </c>
      <c r="O609">
        <v>0</v>
      </c>
      <c r="P609">
        <v>0.01924487649145656</v>
      </c>
      <c r="Q609">
        <v>0.605280569646176</v>
      </c>
      <c r="R609" t="s">
        <v>779</v>
      </c>
      <c r="S609" t="s">
        <v>786</v>
      </c>
      <c r="T609">
        <v>219.528673</v>
      </c>
      <c r="U609" s="2">
        <v>44413</v>
      </c>
      <c r="V609" t="s">
        <v>791</v>
      </c>
    </row>
    <row r="610" spans="1:22">
      <c r="A610" s="1" t="s">
        <v>630</v>
      </c>
      <c r="B610">
        <f>HYPERLINK("https://www.suredividend.com/sure-analysis-CTO/","CTO Realty Growth Inc")</f>
        <v>0</v>
      </c>
      <c r="C610">
        <v>53.45</v>
      </c>
      <c r="D610">
        <v>55</v>
      </c>
      <c r="E610">
        <v>0.9718181818181819</v>
      </c>
      <c r="F610">
        <v>0.07483629560336763</v>
      </c>
      <c r="G610">
        <v>0.005733684558661079</v>
      </c>
      <c r="H610">
        <v>0.05</v>
      </c>
      <c r="I610">
        <v>0.1133622214581611</v>
      </c>
      <c r="J610" t="s">
        <v>774</v>
      </c>
      <c r="K610" t="s">
        <v>378</v>
      </c>
      <c r="L610">
        <v>4.1</v>
      </c>
      <c r="M610">
        <v>4</v>
      </c>
      <c r="N610">
        <v>0.9756097560975611</v>
      </c>
      <c r="O610">
        <v>8</v>
      </c>
      <c r="P610">
        <v>0.02016978262061087</v>
      </c>
      <c r="Q610">
        <v>0.207737101069832</v>
      </c>
      <c r="R610" t="s">
        <v>778</v>
      </c>
      <c r="S610" t="s">
        <v>790</v>
      </c>
      <c r="T610">
        <v>318.734455</v>
      </c>
      <c r="U610" s="2">
        <v>44430</v>
      </c>
      <c r="V610" t="s">
        <v>793</v>
      </c>
    </row>
    <row r="611" spans="1:22">
      <c r="A611" s="1" t="s">
        <v>631</v>
      </c>
      <c r="B611">
        <f>HYPERLINK("https://www.suredividend.com/sure-analysis-PINE/","Alpine Income Property Trust Inc")</f>
        <v>0</v>
      </c>
      <c r="C611">
        <v>18.93</v>
      </c>
      <c r="D611">
        <v>18.65</v>
      </c>
      <c r="E611">
        <v>1.015013404825737</v>
      </c>
      <c r="F611">
        <v>0.05282620179609086</v>
      </c>
      <c r="G611">
        <v>-0.002975926950941732</v>
      </c>
      <c r="H611">
        <v>0.07000000000000001</v>
      </c>
      <c r="I611">
        <v>0.1128093345147776</v>
      </c>
      <c r="J611" t="s">
        <v>774</v>
      </c>
      <c r="K611" t="s">
        <v>378</v>
      </c>
      <c r="L611">
        <v>1.48</v>
      </c>
      <c r="M611">
        <v>1</v>
      </c>
      <c r="N611">
        <v>0.6756756756756757</v>
      </c>
      <c r="O611">
        <v>2</v>
      </c>
      <c r="P611">
        <v>0.06961037572506878</v>
      </c>
      <c r="Q611">
        <v>0.399057303648639</v>
      </c>
      <c r="R611" t="s">
        <v>778</v>
      </c>
      <c r="S611" t="s">
        <v>790</v>
      </c>
      <c r="T611">
        <v>210.962561</v>
      </c>
      <c r="U611" s="2">
        <v>44427</v>
      </c>
      <c r="V611" t="s">
        <v>791</v>
      </c>
    </row>
    <row r="612" spans="1:22">
      <c r="A612" s="1" t="s">
        <v>632</v>
      </c>
      <c r="B612">
        <f>HYPERLINK("https://www.suredividend.com/sure-analysis-NEWT/","Newtek Business Services Corp")</f>
        <v>0</v>
      </c>
      <c r="C612">
        <v>28.64</v>
      </c>
      <c r="D612">
        <v>27</v>
      </c>
      <c r="E612">
        <v>1.060740740740741</v>
      </c>
      <c r="F612">
        <v>0.1099860335195531</v>
      </c>
      <c r="G612">
        <v>-0.01172422453480559</v>
      </c>
      <c r="H612">
        <v>0.03</v>
      </c>
      <c r="I612">
        <v>0.1109327642609481</v>
      </c>
      <c r="J612" t="s">
        <v>774</v>
      </c>
      <c r="K612" t="s">
        <v>378</v>
      </c>
      <c r="L612">
        <v>3.3</v>
      </c>
      <c r="M612">
        <v>3.15</v>
      </c>
      <c r="N612">
        <v>0.9545454545454546</v>
      </c>
      <c r="O612">
        <v>0</v>
      </c>
      <c r="P612">
        <v>0.02877218634269907</v>
      </c>
      <c r="Q612">
        <v>0.664797108416573</v>
      </c>
      <c r="R612" t="s">
        <v>779</v>
      </c>
      <c r="S612" t="s">
        <v>786</v>
      </c>
      <c r="T612">
        <v>632.453111</v>
      </c>
      <c r="U612" s="2">
        <v>44426</v>
      </c>
      <c r="V612" t="s">
        <v>791</v>
      </c>
    </row>
    <row r="613" spans="1:22">
      <c r="A613" s="1" t="s">
        <v>633</v>
      </c>
      <c r="B613">
        <f>HYPERLINK("https://www.suredividend.com/sure-analysis-PMT/","Pennymac Mortgage Investment Trust")</f>
        <v>0</v>
      </c>
      <c r="C613">
        <v>20.07</v>
      </c>
      <c r="D613">
        <v>23</v>
      </c>
      <c r="E613">
        <v>0.8726086956521739</v>
      </c>
      <c r="F613">
        <v>0.09367214748380667</v>
      </c>
      <c r="G613">
        <v>0.02762838719530469</v>
      </c>
      <c r="H613">
        <v>0.01</v>
      </c>
      <c r="I613">
        <v>0.1083812071716999</v>
      </c>
      <c r="J613" t="s">
        <v>774</v>
      </c>
      <c r="K613" t="s">
        <v>773</v>
      </c>
      <c r="L613">
        <v>2.53</v>
      </c>
      <c r="M613">
        <v>1.88</v>
      </c>
      <c r="N613">
        <v>0.7430830039525692</v>
      </c>
      <c r="O613">
        <v>0</v>
      </c>
      <c r="P613">
        <v>0</v>
      </c>
      <c r="Q613">
        <v>0.3279195926382</v>
      </c>
      <c r="R613" t="s">
        <v>778</v>
      </c>
      <c r="S613" t="s">
        <v>786</v>
      </c>
      <c r="T613">
        <v>1952.553363</v>
      </c>
      <c r="U613" s="2">
        <v>44417</v>
      </c>
      <c r="V613" t="s">
        <v>793</v>
      </c>
    </row>
    <row r="614" spans="1:22">
      <c r="A614" s="1" t="s">
        <v>634</v>
      </c>
      <c r="B614">
        <f>HYPERLINK("https://www.suredividend.com/sure-analysis-VICI/","VICI Properties Inc")</f>
        <v>0</v>
      </c>
      <c r="C614">
        <v>30.16</v>
      </c>
      <c r="D614">
        <v>31</v>
      </c>
      <c r="E614">
        <v>0.9729032258064516</v>
      </c>
      <c r="F614">
        <v>0.04575596816976127</v>
      </c>
      <c r="G614">
        <v>0.005509252692291966</v>
      </c>
      <c r="H614">
        <v>0.06</v>
      </c>
      <c r="I614">
        <v>0.1052355335712645</v>
      </c>
      <c r="J614" t="s">
        <v>774</v>
      </c>
      <c r="K614" t="s">
        <v>378</v>
      </c>
      <c r="L614">
        <v>2</v>
      </c>
      <c r="M614">
        <v>1.38</v>
      </c>
      <c r="N614">
        <v>0.6899999999999999</v>
      </c>
      <c r="O614">
        <v>2</v>
      </c>
      <c r="P614">
        <v>0.06037267654962997</v>
      </c>
      <c r="Q614">
        <v>0.331438236674548</v>
      </c>
      <c r="R614" t="s">
        <v>778</v>
      </c>
      <c r="S614" t="s">
        <v>790</v>
      </c>
      <c r="T614">
        <v>18103.489752</v>
      </c>
      <c r="U614" s="2">
        <v>44432</v>
      </c>
      <c r="V614" t="s">
        <v>796</v>
      </c>
    </row>
    <row r="615" spans="1:22">
      <c r="A615" s="1" t="s">
        <v>635</v>
      </c>
      <c r="B615">
        <f>HYPERLINK("https://www.suredividend.com/sure-analysis-LTC/","LTC Properties, Inc.")</f>
        <v>0</v>
      </c>
      <c r="C615">
        <v>34.85</v>
      </c>
      <c r="D615">
        <v>36</v>
      </c>
      <c r="E615">
        <v>0.9680555555555556</v>
      </c>
      <c r="F615">
        <v>0.06542324246771879</v>
      </c>
      <c r="G615">
        <v>0.00651428651558783</v>
      </c>
      <c r="H615">
        <v>0.05</v>
      </c>
      <c r="I615">
        <v>0.1047405008594688</v>
      </c>
      <c r="J615" t="s">
        <v>774</v>
      </c>
      <c r="K615" t="s">
        <v>378</v>
      </c>
      <c r="L615">
        <v>2.4</v>
      </c>
      <c r="M615">
        <v>2.28</v>
      </c>
      <c r="N615">
        <v>0.95</v>
      </c>
      <c r="O615">
        <v>0</v>
      </c>
      <c r="P615">
        <v>0</v>
      </c>
      <c r="Q615">
        <v>0.047947566022831</v>
      </c>
      <c r="R615" t="s">
        <v>778</v>
      </c>
      <c r="S615" t="s">
        <v>790</v>
      </c>
      <c r="T615">
        <v>1352.892152</v>
      </c>
      <c r="U615" s="2">
        <v>44428</v>
      </c>
      <c r="V615" t="s">
        <v>796</v>
      </c>
    </row>
    <row r="616" spans="1:22">
      <c r="A616" s="1" t="s">
        <v>636</v>
      </c>
      <c r="B616">
        <f>HYPERLINK("https://www.suredividend.com/sure-analysis-CTRE/","CareTrust REIT Inc")</f>
        <v>0</v>
      </c>
      <c r="C616">
        <v>21.3</v>
      </c>
      <c r="D616">
        <v>22</v>
      </c>
      <c r="E616">
        <v>0.9681818181818183</v>
      </c>
      <c r="F616">
        <v>0.04976525821596244</v>
      </c>
      <c r="G616">
        <v>0.006488032817223655</v>
      </c>
      <c r="H616">
        <v>0.055</v>
      </c>
      <c r="I616">
        <v>0.1037658620438671</v>
      </c>
      <c r="J616" t="s">
        <v>774</v>
      </c>
      <c r="K616" t="s">
        <v>378</v>
      </c>
      <c r="L616">
        <v>1.49</v>
      </c>
      <c r="M616">
        <v>1.06</v>
      </c>
      <c r="N616">
        <v>0.7114093959731544</v>
      </c>
      <c r="O616">
        <v>5</v>
      </c>
      <c r="P616">
        <v>0.04955591526723868</v>
      </c>
      <c r="Q616">
        <v>0.242141849100176</v>
      </c>
      <c r="R616" t="s">
        <v>778</v>
      </c>
      <c r="S616" t="s">
        <v>790</v>
      </c>
      <c r="T616">
        <v>2066.847545</v>
      </c>
      <c r="U616" s="2">
        <v>44414</v>
      </c>
      <c r="V616" t="s">
        <v>793</v>
      </c>
    </row>
    <row r="617" spans="1:22">
      <c r="A617" s="1" t="s">
        <v>637</v>
      </c>
      <c r="B617">
        <f>HYPERLINK("https://www.suredividend.com/sure-analysis-WEN/","Wendy`s Co")</f>
        <v>0</v>
      </c>
      <c r="C617">
        <v>22.14</v>
      </c>
      <c r="D617">
        <v>24</v>
      </c>
      <c r="E617">
        <v>0.9225</v>
      </c>
      <c r="F617">
        <v>0.02168021680216802</v>
      </c>
      <c r="G617">
        <v>0.01626442956546925</v>
      </c>
      <c r="H617">
        <v>0.07000000000000001</v>
      </c>
      <c r="I617">
        <v>0.1037426778763306</v>
      </c>
      <c r="J617" t="s">
        <v>774</v>
      </c>
      <c r="K617" t="s">
        <v>774</v>
      </c>
      <c r="L617">
        <v>0.8</v>
      </c>
      <c r="M617">
        <v>0.48</v>
      </c>
      <c r="N617">
        <v>0.6</v>
      </c>
      <c r="O617">
        <v>0</v>
      </c>
      <c r="P617">
        <v>0.02760046099310043</v>
      </c>
      <c r="Q617">
        <v>-0.06879713320743401</v>
      </c>
      <c r="R617" t="s">
        <v>776</v>
      </c>
      <c r="S617" t="s">
        <v>788</v>
      </c>
      <c r="T617">
        <v>4932.519545</v>
      </c>
      <c r="U617" s="2">
        <v>44419</v>
      </c>
      <c r="V617" t="s">
        <v>793</v>
      </c>
    </row>
    <row r="618" spans="1:22">
      <c r="A618" s="1" t="s">
        <v>638</v>
      </c>
      <c r="B618">
        <f>HYPERLINK("https://www.suredividend.com/sure-analysis-PSX/","Phillips 66")</f>
        <v>0</v>
      </c>
      <c r="C618">
        <v>80.87</v>
      </c>
      <c r="D618">
        <v>84</v>
      </c>
      <c r="E618">
        <v>0.9627380952380953</v>
      </c>
      <c r="F618">
        <v>0.04550513169284036</v>
      </c>
      <c r="G618">
        <v>0.007623687796499912</v>
      </c>
      <c r="H618">
        <v>0.06</v>
      </c>
      <c r="I618">
        <v>0.1029444516342912</v>
      </c>
      <c r="J618" t="s">
        <v>774</v>
      </c>
      <c r="K618" t="s">
        <v>486</v>
      </c>
      <c r="L618">
        <v>2.5</v>
      </c>
      <c r="M618">
        <v>3.68</v>
      </c>
      <c r="N618">
        <v>1.472</v>
      </c>
      <c r="O618">
        <v>8</v>
      </c>
      <c r="P618">
        <v>0.02085125936929089</v>
      </c>
      <c r="Q618">
        <v>0.688067140262126</v>
      </c>
      <c r="R618" t="s">
        <v>776</v>
      </c>
      <c r="S618" t="s">
        <v>789</v>
      </c>
      <c r="T618">
        <v>35573.499718</v>
      </c>
      <c r="U618" s="2">
        <v>44427</v>
      </c>
      <c r="V618" t="s">
        <v>796</v>
      </c>
    </row>
    <row r="619" spans="1:22">
      <c r="A619" s="1" t="s">
        <v>639</v>
      </c>
      <c r="B619">
        <f>HYPERLINK("https://www.suredividend.com/sure-analysis-SSREY/","Swiss Re Ltd")</f>
        <v>0</v>
      </c>
      <c r="C619">
        <v>21.92</v>
      </c>
      <c r="D619">
        <v>21</v>
      </c>
      <c r="E619">
        <v>1.043809523809524</v>
      </c>
      <c r="F619">
        <v>0.07344890510948905</v>
      </c>
      <c r="G619">
        <v>-0.008538740964391334</v>
      </c>
      <c r="H619">
        <v>0.05</v>
      </c>
      <c r="I619">
        <v>0.1003282800010508</v>
      </c>
      <c r="J619" t="s">
        <v>774</v>
      </c>
      <c r="K619" t="s">
        <v>378</v>
      </c>
      <c r="L619">
        <v>1.75</v>
      </c>
      <c r="M619">
        <v>1.61</v>
      </c>
      <c r="N619">
        <v>0.92</v>
      </c>
      <c r="O619">
        <v>5</v>
      </c>
      <c r="P619">
        <v>0.02027871203234244</v>
      </c>
      <c r="Q619">
        <v>0.184846856528748</v>
      </c>
      <c r="R619" t="s">
        <v>776</v>
      </c>
      <c r="S619" t="s">
        <v>786</v>
      </c>
      <c r="T619">
        <v>28003.262389</v>
      </c>
      <c r="U619" s="2">
        <v>44408</v>
      </c>
      <c r="V619" t="s">
        <v>791</v>
      </c>
    </row>
    <row r="620" spans="1:22">
      <c r="A620" s="1" t="s">
        <v>640</v>
      </c>
      <c r="B620">
        <f>HYPERLINK("https://www.suredividend.com/sure-analysis-WSO/","Watsco Inc.")</f>
        <v>0</v>
      </c>
      <c r="C620">
        <v>285.83</v>
      </c>
      <c r="D620">
        <v>253</v>
      </c>
      <c r="E620">
        <v>1.129762845849802</v>
      </c>
      <c r="F620">
        <v>0.02728894797606969</v>
      </c>
      <c r="G620">
        <v>-0.02410623707315529</v>
      </c>
      <c r="H620">
        <v>0.1</v>
      </c>
      <c r="I620">
        <v>0.09976258965837936</v>
      </c>
      <c r="J620" t="s">
        <v>774</v>
      </c>
      <c r="K620" t="s">
        <v>486</v>
      </c>
      <c r="L620">
        <v>10.13</v>
      </c>
      <c r="M620">
        <v>7.8</v>
      </c>
      <c r="N620">
        <v>0.769990128331688</v>
      </c>
      <c r="O620">
        <v>8</v>
      </c>
      <c r="P620">
        <v>0.0999653567765697</v>
      </c>
      <c r="Q620">
        <v>0.223801871843334</v>
      </c>
      <c r="R620" t="s">
        <v>778</v>
      </c>
      <c r="S620" t="s">
        <v>790</v>
      </c>
      <c r="T620">
        <v>11008.164097</v>
      </c>
      <c r="U620" s="2">
        <v>44445</v>
      </c>
      <c r="V620" t="s">
        <v>792</v>
      </c>
    </row>
    <row r="621" spans="1:22">
      <c r="A621" s="1" t="s">
        <v>641</v>
      </c>
      <c r="B621">
        <f>HYPERLINK("https://www.suredividend.com/sure-analysis-MGP/","MGM Growth Properties LLC")</f>
        <v>0</v>
      </c>
      <c r="C621">
        <v>40.65</v>
      </c>
      <c r="D621">
        <v>38</v>
      </c>
      <c r="E621">
        <v>1.069736842105263</v>
      </c>
      <c r="F621">
        <v>0.05116851168511685</v>
      </c>
      <c r="G621">
        <v>-0.01339205297502999</v>
      </c>
      <c r="H621">
        <v>0.0702</v>
      </c>
      <c r="I621">
        <v>0.09863338186770476</v>
      </c>
      <c r="J621" t="s">
        <v>774</v>
      </c>
      <c r="K621" t="s">
        <v>378</v>
      </c>
      <c r="L621">
        <v>2.54</v>
      </c>
      <c r="M621">
        <v>2.08</v>
      </c>
      <c r="N621">
        <v>0.8188976377952756</v>
      </c>
      <c r="O621">
        <v>5</v>
      </c>
      <c r="P621">
        <v>0.03994755272054218</v>
      </c>
      <c r="Q621">
        <v>0.5570113710414391</v>
      </c>
      <c r="R621" t="s">
        <v>778</v>
      </c>
      <c r="S621" t="s">
        <v>790</v>
      </c>
      <c r="T621">
        <v>6325.67253</v>
      </c>
      <c r="U621" s="2">
        <v>44443</v>
      </c>
      <c r="V621" t="s">
        <v>798</v>
      </c>
    </row>
    <row r="622" spans="1:22">
      <c r="A622" s="1" t="s">
        <v>642</v>
      </c>
      <c r="B622">
        <f>HYPERLINK("https://www.suredividend.com/sure-analysis-QSR/","Restaurant Brands International Inc")</f>
        <v>0</v>
      </c>
      <c r="C622">
        <v>60.88</v>
      </c>
      <c r="D622">
        <v>53</v>
      </c>
      <c r="E622">
        <v>1.148679245283019</v>
      </c>
      <c r="F622">
        <v>0.03482260183968463</v>
      </c>
      <c r="G622">
        <v>-0.02734181634325883</v>
      </c>
      <c r="H622">
        <v>0.1</v>
      </c>
      <c r="I622">
        <v>0.09793139308726073</v>
      </c>
      <c r="J622" t="s">
        <v>774</v>
      </c>
      <c r="K622" t="s">
        <v>486</v>
      </c>
      <c r="L622">
        <v>2.8</v>
      </c>
      <c r="M622">
        <v>2.12</v>
      </c>
      <c r="N622">
        <v>0.7571428571428572</v>
      </c>
      <c r="O622">
        <v>9</v>
      </c>
      <c r="P622">
        <v>0.03517300006217261</v>
      </c>
      <c r="Q622">
        <v>0.103576508583872</v>
      </c>
      <c r="R622" t="s">
        <v>776</v>
      </c>
      <c r="S622" t="s">
        <v>788</v>
      </c>
      <c r="T622">
        <v>18929.56036</v>
      </c>
      <c r="U622" s="2">
        <v>44424</v>
      </c>
      <c r="V622" t="s">
        <v>796</v>
      </c>
    </row>
    <row r="623" spans="1:22">
      <c r="A623" s="1" t="s">
        <v>643</v>
      </c>
      <c r="B623">
        <f>HYPERLINK("https://www.suredividend.com/sure-analysis-DHT/","DHT Holdings Inc")</f>
        <v>0</v>
      </c>
      <c r="C623">
        <v>6.76</v>
      </c>
      <c r="D623">
        <v>6</v>
      </c>
      <c r="E623">
        <v>1.126666666666667</v>
      </c>
      <c r="F623">
        <v>0.01923076923076923</v>
      </c>
      <c r="G623">
        <v>-0.02357045730373952</v>
      </c>
      <c r="H623">
        <v>0.1</v>
      </c>
      <c r="I623">
        <v>0.09655207590905723</v>
      </c>
      <c r="J623" t="s">
        <v>774</v>
      </c>
      <c r="K623" t="s">
        <v>774</v>
      </c>
      <c r="L623">
        <v>0.1</v>
      </c>
      <c r="M623">
        <v>0.13</v>
      </c>
      <c r="N623">
        <v>1.3</v>
      </c>
      <c r="O623">
        <v>0</v>
      </c>
      <c r="P623">
        <v>0.1658506946484593</v>
      </c>
      <c r="Q623">
        <v>0.361656886998834</v>
      </c>
      <c r="R623" t="s">
        <v>776</v>
      </c>
      <c r="S623" t="s">
        <v>789</v>
      </c>
      <c r="T623">
        <v>1137.516864</v>
      </c>
      <c r="U623" s="2">
        <v>44431</v>
      </c>
      <c r="V623" t="s">
        <v>796</v>
      </c>
    </row>
    <row r="624" spans="1:22">
      <c r="A624" s="1" t="s">
        <v>644</v>
      </c>
      <c r="B624">
        <f>HYPERLINK("https://www.suredividend.com/sure-analysis-CQP/","Cheniere Energy Partners LP")</f>
        <v>0</v>
      </c>
      <c r="C624">
        <v>43.7</v>
      </c>
      <c r="D624">
        <v>45</v>
      </c>
      <c r="E624">
        <v>0.9711111111111111</v>
      </c>
      <c r="F624">
        <v>0.06041189931350114</v>
      </c>
      <c r="G624">
        <v>0.005880097837304588</v>
      </c>
      <c r="H624">
        <v>0.04</v>
      </c>
      <c r="I624">
        <v>0.09476235176471537</v>
      </c>
      <c r="J624" t="s">
        <v>774</v>
      </c>
      <c r="K624" t="s">
        <v>378</v>
      </c>
      <c r="L624">
        <v>2.9</v>
      </c>
      <c r="M624">
        <v>2.64</v>
      </c>
      <c r="N624">
        <v>0.9103448275862069</v>
      </c>
      <c r="O624">
        <v>4</v>
      </c>
      <c r="P624">
        <v>0.01896393794917839</v>
      </c>
      <c r="Q624">
        <v>0.299827981480432</v>
      </c>
      <c r="R624" t="s">
        <v>777</v>
      </c>
      <c r="S624" t="s">
        <v>789</v>
      </c>
      <c r="T624">
        <v>21103.451763</v>
      </c>
      <c r="U624" s="2">
        <v>44442</v>
      </c>
      <c r="V624" t="s">
        <v>796</v>
      </c>
    </row>
    <row r="625" spans="1:22">
      <c r="A625" s="1" t="s">
        <v>645</v>
      </c>
      <c r="B625">
        <f>HYPERLINK("https://www.suredividend.com/sure-analysis-AFIN/","American Fin Tr Inc")</f>
        <v>0</v>
      </c>
      <c r="C625">
        <v>8.449999999999999</v>
      </c>
      <c r="D625">
        <v>9</v>
      </c>
      <c r="E625">
        <v>0.9388888888888888</v>
      </c>
      <c r="F625">
        <v>0.1005917159763314</v>
      </c>
      <c r="G625">
        <v>0.01269148914022256</v>
      </c>
      <c r="H625">
        <v>0</v>
      </c>
      <c r="I625">
        <v>0.09413732554309528</v>
      </c>
      <c r="J625" t="s">
        <v>774</v>
      </c>
      <c r="K625" t="s">
        <v>378</v>
      </c>
      <c r="L625">
        <v>1</v>
      </c>
      <c r="M625">
        <v>0.85</v>
      </c>
      <c r="N625">
        <v>0.85</v>
      </c>
      <c r="O625">
        <v>0</v>
      </c>
      <c r="P625">
        <v>0</v>
      </c>
      <c r="Q625">
        <v>0.523816353238558</v>
      </c>
      <c r="R625" t="s">
        <v>778</v>
      </c>
      <c r="S625" t="s">
        <v>790</v>
      </c>
      <c r="T625">
        <v>1001.468632</v>
      </c>
      <c r="U625" s="2">
        <v>44431</v>
      </c>
      <c r="V625" t="s">
        <v>791</v>
      </c>
    </row>
    <row r="626" spans="1:22">
      <c r="A626" s="1" t="s">
        <v>646</v>
      </c>
      <c r="B626">
        <f>HYPERLINK("https://www.suredividend.com/sure-analysis-GSK/","Glaxosmithkline plc")</f>
        <v>0</v>
      </c>
      <c r="C626">
        <v>38.65</v>
      </c>
      <c r="D626">
        <v>40</v>
      </c>
      <c r="E626">
        <v>0.9662499999999999</v>
      </c>
      <c r="F626">
        <v>0.06597671410090557</v>
      </c>
      <c r="G626">
        <v>0.006890164524655074</v>
      </c>
      <c r="H626">
        <v>0.03</v>
      </c>
      <c r="I626">
        <v>0.09312985566956034</v>
      </c>
      <c r="J626" t="s">
        <v>774</v>
      </c>
      <c r="K626" t="s">
        <v>378</v>
      </c>
      <c r="L626">
        <v>2.69</v>
      </c>
      <c r="M626">
        <v>2.55</v>
      </c>
      <c r="N626">
        <v>0.9479553903345724</v>
      </c>
      <c r="O626">
        <v>3</v>
      </c>
      <c r="P626">
        <v>0.03026822589808931</v>
      </c>
      <c r="Q626">
        <v>0.12878770341906</v>
      </c>
      <c r="R626" t="s">
        <v>776</v>
      </c>
      <c r="S626" t="s">
        <v>781</v>
      </c>
      <c r="T626">
        <v>98131.141164</v>
      </c>
      <c r="U626" s="2">
        <v>44407</v>
      </c>
      <c r="V626" t="s">
        <v>792</v>
      </c>
    </row>
    <row r="627" spans="1:22">
      <c r="A627" s="1" t="s">
        <v>647</v>
      </c>
      <c r="B627">
        <f>HYPERLINK("https://www.suredividend.com/sure-analysis-CWCO/","Consolidated Water Co. Ltd.")</f>
        <v>0</v>
      </c>
      <c r="C627">
        <v>11.09</v>
      </c>
      <c r="D627">
        <v>12.4</v>
      </c>
      <c r="E627">
        <v>0.8943548387096774</v>
      </c>
      <c r="F627">
        <v>0.03065825067628494</v>
      </c>
      <c r="G627">
        <v>0.02258172690048976</v>
      </c>
      <c r="H627">
        <v>0.042</v>
      </c>
      <c r="I627">
        <v>0.09237187084960685</v>
      </c>
      <c r="J627" t="s">
        <v>774</v>
      </c>
      <c r="K627" t="s">
        <v>774</v>
      </c>
      <c r="L627">
        <v>0.33</v>
      </c>
      <c r="M627">
        <v>0.34</v>
      </c>
      <c r="N627">
        <v>1.03030303030303</v>
      </c>
      <c r="O627">
        <v>0</v>
      </c>
      <c r="P627">
        <v>0.0576615571948691</v>
      </c>
      <c r="Q627">
        <v>0.04595112690997701</v>
      </c>
      <c r="R627" t="s">
        <v>776</v>
      </c>
      <c r="S627" t="s">
        <v>787</v>
      </c>
      <c r="T627">
        <v>170.968257</v>
      </c>
      <c r="U627" s="2">
        <v>44431</v>
      </c>
      <c r="V627" t="s">
        <v>800</v>
      </c>
    </row>
    <row r="628" spans="1:22">
      <c r="A628" s="1" t="s">
        <v>648</v>
      </c>
      <c r="B628">
        <f>HYPERLINK("https://www.suredividend.com/sure-analysis-SBRA/","Sabra Healthcare REIT Inc")</f>
        <v>0</v>
      </c>
      <c r="C628">
        <v>15.32</v>
      </c>
      <c r="D628">
        <v>14.8</v>
      </c>
      <c r="E628">
        <v>1.035135135135135</v>
      </c>
      <c r="F628">
        <v>0.07832898172323759</v>
      </c>
      <c r="G628">
        <v>-0.006882602359976286</v>
      </c>
      <c r="H628">
        <v>0.034</v>
      </c>
      <c r="I628">
        <v>0.09200950065807056</v>
      </c>
      <c r="J628" t="s">
        <v>774</v>
      </c>
      <c r="K628" t="s">
        <v>378</v>
      </c>
      <c r="L628">
        <v>1.61</v>
      </c>
      <c r="M628">
        <v>1.2</v>
      </c>
      <c r="N628">
        <v>0.7453416149068323</v>
      </c>
      <c r="O628">
        <v>0</v>
      </c>
      <c r="P628">
        <v>0.01613736474159566</v>
      </c>
      <c r="Q628">
        <v>0.131376545322007</v>
      </c>
      <c r="R628" t="s">
        <v>778</v>
      </c>
      <c r="S628" t="s">
        <v>790</v>
      </c>
      <c r="T628">
        <v>3358.734622</v>
      </c>
      <c r="U628" s="2">
        <v>44420</v>
      </c>
      <c r="V628" t="s">
        <v>800</v>
      </c>
    </row>
    <row r="629" spans="1:22">
      <c r="A629" s="1" t="s">
        <v>649</v>
      </c>
      <c r="B629">
        <f>HYPERLINK("https://www.suredividend.com/sure-analysis-EFC/","Ellington Financial Inc")</f>
        <v>0</v>
      </c>
      <c r="C629">
        <v>18.4</v>
      </c>
      <c r="D629">
        <v>18.3</v>
      </c>
      <c r="E629">
        <v>1.005464480874317</v>
      </c>
      <c r="F629">
        <v>0.09782608695652174</v>
      </c>
      <c r="G629">
        <v>-0.00108932720540289</v>
      </c>
      <c r="H629">
        <v>0.01</v>
      </c>
      <c r="I629">
        <v>0.09146715755181822</v>
      </c>
      <c r="J629" t="s">
        <v>774</v>
      </c>
      <c r="K629" t="s">
        <v>378</v>
      </c>
      <c r="L629">
        <v>1.83</v>
      </c>
      <c r="M629">
        <v>1.8</v>
      </c>
      <c r="N629">
        <v>0.9836065573770492</v>
      </c>
      <c r="O629">
        <v>1</v>
      </c>
      <c r="P629">
        <v>0.009805797673485328</v>
      </c>
      <c r="Q629">
        <v>0.526417148120238</v>
      </c>
      <c r="R629" t="s">
        <v>778</v>
      </c>
      <c r="S629" t="s">
        <v>786</v>
      </c>
      <c r="T629">
        <v>942.083869</v>
      </c>
      <c r="U629" s="2">
        <v>44418</v>
      </c>
      <c r="V629" t="s">
        <v>791</v>
      </c>
    </row>
    <row r="630" spans="1:22">
      <c r="A630" s="1" t="s">
        <v>650</v>
      </c>
      <c r="B630">
        <f>HYPERLINK("https://www.suredividend.com/sure-analysis-TWO/","Two Harbors Investment Corp")</f>
        <v>0</v>
      </c>
      <c r="C630">
        <v>6.69</v>
      </c>
      <c r="D630">
        <v>6.3</v>
      </c>
      <c r="E630">
        <v>1.061904761904762</v>
      </c>
      <c r="F630">
        <v>0.101644245142003</v>
      </c>
      <c r="G630">
        <v>-0.01194098194864202</v>
      </c>
      <c r="H630">
        <v>0.018</v>
      </c>
      <c r="I630">
        <v>0.09114455600849247</v>
      </c>
      <c r="J630" t="s">
        <v>774</v>
      </c>
      <c r="K630" t="s">
        <v>378</v>
      </c>
      <c r="L630">
        <v>0.73</v>
      </c>
      <c r="M630">
        <v>0.68</v>
      </c>
      <c r="N630">
        <v>0.9315068493150686</v>
      </c>
      <c r="O630">
        <v>0</v>
      </c>
      <c r="P630">
        <v>0.005814345444414393</v>
      </c>
      <c r="Q630">
        <v>0.406368781147056</v>
      </c>
      <c r="R630" t="s">
        <v>778</v>
      </c>
      <c r="S630" t="s">
        <v>790</v>
      </c>
      <c r="T630">
        <v>2090.461852</v>
      </c>
      <c r="U630" s="2">
        <v>44420</v>
      </c>
      <c r="V630" t="s">
        <v>800</v>
      </c>
    </row>
    <row r="631" spans="1:22">
      <c r="A631" s="1" t="s">
        <v>651</v>
      </c>
      <c r="B631">
        <f>HYPERLINK("https://www.suredividend.com/sure-analysis-FCPT/","Four Corners Property Trust Inc")</f>
        <v>0</v>
      </c>
      <c r="C631">
        <v>28.6</v>
      </c>
      <c r="D631">
        <v>29</v>
      </c>
      <c r="E631">
        <v>0.9862068965517242</v>
      </c>
      <c r="F631">
        <v>0.04475524475524476</v>
      </c>
      <c r="G631">
        <v>0.002781684155765296</v>
      </c>
      <c r="H631">
        <v>0.05</v>
      </c>
      <c r="I631">
        <v>0.08997973671419901</v>
      </c>
      <c r="J631" t="s">
        <v>774</v>
      </c>
      <c r="K631" t="s">
        <v>486</v>
      </c>
      <c r="L631">
        <v>1.55</v>
      </c>
      <c r="M631">
        <v>1.28</v>
      </c>
      <c r="N631">
        <v>0.8258064516129032</v>
      </c>
      <c r="O631">
        <v>4</v>
      </c>
      <c r="P631">
        <v>0.02946206823925857</v>
      </c>
      <c r="Q631">
        <v>0.1219124003308</v>
      </c>
      <c r="R631" t="s">
        <v>778</v>
      </c>
      <c r="S631" t="s">
        <v>790</v>
      </c>
      <c r="T631">
        <v>2191.581053</v>
      </c>
      <c r="U631" s="2">
        <v>44445</v>
      </c>
      <c r="V631" t="s">
        <v>798</v>
      </c>
    </row>
    <row r="632" spans="1:22">
      <c r="A632" s="1" t="s">
        <v>652</v>
      </c>
      <c r="B632">
        <f>HYPERLINK("https://www.suredividend.com/sure-analysis-UMH/","UMH Properties Inc")</f>
        <v>0</v>
      </c>
      <c r="C632">
        <v>23.63</v>
      </c>
      <c r="D632">
        <v>25</v>
      </c>
      <c r="E632">
        <v>0.9451999999999999</v>
      </c>
      <c r="F632">
        <v>0.03216250528988574</v>
      </c>
      <c r="G632">
        <v>0.01133551222871731</v>
      </c>
      <c r="H632">
        <v>0.051</v>
      </c>
      <c r="I632">
        <v>0.08947255926251563</v>
      </c>
      <c r="J632" t="s">
        <v>774</v>
      </c>
      <c r="K632" t="s">
        <v>486</v>
      </c>
      <c r="L632">
        <v>0.86</v>
      </c>
      <c r="M632">
        <v>0.76</v>
      </c>
      <c r="N632">
        <v>0.8837209302325582</v>
      </c>
      <c r="O632">
        <v>1</v>
      </c>
      <c r="P632">
        <v>0.03439350143683439</v>
      </c>
      <c r="Q632">
        <v>0.7724168567835971</v>
      </c>
      <c r="R632" t="s">
        <v>778</v>
      </c>
      <c r="S632" t="s">
        <v>790</v>
      </c>
      <c r="T632">
        <v>1116.568912</v>
      </c>
      <c r="U632" s="2">
        <v>44452</v>
      </c>
      <c r="V632" t="s">
        <v>800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4.99</v>
      </c>
      <c r="D633">
        <v>3.8</v>
      </c>
      <c r="E633">
        <v>1.313157894736842</v>
      </c>
      <c r="F633">
        <v>0.156312625250501</v>
      </c>
      <c r="G633">
        <v>-0.05302915087254501</v>
      </c>
      <c r="H633">
        <v>-0.008</v>
      </c>
      <c r="I633">
        <v>0.08807597236931852</v>
      </c>
      <c r="J633" t="s">
        <v>774</v>
      </c>
      <c r="K633" t="s">
        <v>773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0.101273071670851</v>
      </c>
      <c r="R633" t="s">
        <v>778</v>
      </c>
      <c r="S633" t="s">
        <v>790</v>
      </c>
      <c r="T633">
        <v>690.2757</v>
      </c>
      <c r="U633" s="2">
        <v>44415</v>
      </c>
      <c r="V633" t="s">
        <v>800</v>
      </c>
    </row>
    <row r="634" spans="1:22">
      <c r="A634" s="1" t="s">
        <v>654</v>
      </c>
      <c r="B634">
        <f>HYPERLINK("https://www.suredividend.com/sure-analysis-SRC/","Spirit Realty Capital Inc")</f>
        <v>0</v>
      </c>
      <c r="C634">
        <v>48</v>
      </c>
      <c r="D634">
        <v>49</v>
      </c>
      <c r="E634">
        <v>0.9795918367346939</v>
      </c>
      <c r="F634">
        <v>0.05208333333333334</v>
      </c>
      <c r="G634">
        <v>0.004132372241226756</v>
      </c>
      <c r="H634">
        <v>0.04</v>
      </c>
      <c r="I634">
        <v>0.08712685308134405</v>
      </c>
      <c r="J634" t="s">
        <v>774</v>
      </c>
      <c r="K634" t="s">
        <v>378</v>
      </c>
      <c r="L634">
        <v>3.27</v>
      </c>
      <c r="M634">
        <v>2.5</v>
      </c>
      <c r="N634">
        <v>0.7645259938837921</v>
      </c>
      <c r="O634">
        <v>0</v>
      </c>
      <c r="P634">
        <v>0.0199850696295707</v>
      </c>
      <c r="Q634">
        <v>0.569356759490367</v>
      </c>
      <c r="R634" t="s">
        <v>778</v>
      </c>
      <c r="S634" t="s">
        <v>790</v>
      </c>
      <c r="T634">
        <v>5728.892203</v>
      </c>
      <c r="U634" s="2">
        <v>44413</v>
      </c>
      <c r="V634" t="s">
        <v>791</v>
      </c>
    </row>
    <row r="635" spans="1:22">
      <c r="A635" s="1" t="s">
        <v>655</v>
      </c>
      <c r="B635">
        <f>HYPERLINK("https://www.suredividend.com/sure-analysis-VOD/","Vodafone Group plc")</f>
        <v>0</v>
      </c>
      <c r="C635">
        <v>15.26</v>
      </c>
      <c r="D635">
        <v>15</v>
      </c>
      <c r="E635">
        <v>1.017333333333333</v>
      </c>
      <c r="F635">
        <v>0.0707732634338139</v>
      </c>
      <c r="G635">
        <v>-0.003431065347628826</v>
      </c>
      <c r="H635">
        <v>0.03</v>
      </c>
      <c r="I635">
        <v>0.08351410798917791</v>
      </c>
      <c r="J635" t="s">
        <v>774</v>
      </c>
      <c r="K635" t="s">
        <v>378</v>
      </c>
      <c r="L635">
        <v>1.1</v>
      </c>
      <c r="M635">
        <v>1.08</v>
      </c>
      <c r="N635">
        <v>0.9818181818181818</v>
      </c>
      <c r="O635">
        <v>0</v>
      </c>
      <c r="P635">
        <v>0</v>
      </c>
      <c r="Q635">
        <v>0.140025151990951</v>
      </c>
      <c r="R635" t="s">
        <v>776</v>
      </c>
      <c r="S635" t="s">
        <v>780</v>
      </c>
      <c r="T635">
        <v>42088.144703</v>
      </c>
      <c r="U635" s="2">
        <v>44429</v>
      </c>
      <c r="V635" t="s">
        <v>795</v>
      </c>
    </row>
    <row r="636" spans="1:22">
      <c r="A636" s="1" t="s">
        <v>656</v>
      </c>
      <c r="B636">
        <f>HYPERLINK("https://www.suredividend.com/sure-analysis-ORCC/","Owl Rock Capital Corp")</f>
        <v>0</v>
      </c>
      <c r="C636">
        <v>14.38</v>
      </c>
      <c r="D636">
        <v>13.8</v>
      </c>
      <c r="E636">
        <v>1.042028985507246</v>
      </c>
      <c r="F636">
        <v>0.08623087621696801</v>
      </c>
      <c r="G636">
        <v>-0.008200145892623523</v>
      </c>
      <c r="H636">
        <v>0.02</v>
      </c>
      <c r="I636">
        <v>0.08312417479442913</v>
      </c>
      <c r="J636" t="s">
        <v>774</v>
      </c>
      <c r="K636" t="s">
        <v>378</v>
      </c>
      <c r="L636">
        <v>1.15</v>
      </c>
      <c r="M636">
        <v>1.24</v>
      </c>
      <c r="N636">
        <v>1.078260869565217</v>
      </c>
      <c r="O636">
        <v>0</v>
      </c>
      <c r="P636">
        <v>0</v>
      </c>
      <c r="Q636">
        <v>0.326025784856454</v>
      </c>
      <c r="R636" t="s">
        <v>779</v>
      </c>
      <c r="S636" t="s">
        <v>786</v>
      </c>
      <c r="T636">
        <v>5655.776206</v>
      </c>
      <c r="U636" s="2">
        <v>44462</v>
      </c>
      <c r="V636" t="s">
        <v>791</v>
      </c>
    </row>
    <row r="637" spans="1:22">
      <c r="A637" s="1" t="s">
        <v>657</v>
      </c>
      <c r="B637">
        <f>HYPERLINK("https://www.suredividend.com/sure-analysis-GSBD/","Goldman Sachs BDC Inc")</f>
        <v>0</v>
      </c>
      <c r="C637">
        <v>18.96</v>
      </c>
      <c r="D637">
        <v>19.2</v>
      </c>
      <c r="E637">
        <v>0.9875</v>
      </c>
      <c r="F637">
        <v>0.09493670886075949</v>
      </c>
      <c r="G637">
        <v>0.002518923611994461</v>
      </c>
      <c r="H637">
        <v>0</v>
      </c>
      <c r="I637">
        <v>0.08263522928949718</v>
      </c>
      <c r="J637" t="s">
        <v>774</v>
      </c>
      <c r="K637" t="s">
        <v>378</v>
      </c>
      <c r="L637">
        <v>2</v>
      </c>
      <c r="M637">
        <v>1.8</v>
      </c>
      <c r="N637">
        <v>0.9</v>
      </c>
      <c r="O637">
        <v>0</v>
      </c>
      <c r="P637">
        <v>0</v>
      </c>
      <c r="Q637">
        <v>0.395861663420191</v>
      </c>
      <c r="R637" t="s">
        <v>779</v>
      </c>
      <c r="S637" t="s">
        <v>786</v>
      </c>
      <c r="T637">
        <v>1932.15428</v>
      </c>
      <c r="U637" s="2">
        <v>44416</v>
      </c>
      <c r="V637" t="s">
        <v>791</v>
      </c>
    </row>
    <row r="638" spans="1:22">
      <c r="A638" s="1" t="s">
        <v>658</v>
      </c>
      <c r="B638">
        <f>HYPERLINK("https://www.suredividend.com/sure-analysis-TRP/","TC Energy Corporation")</f>
        <v>0</v>
      </c>
      <c r="C638">
        <v>53.68</v>
      </c>
      <c r="D638">
        <v>53</v>
      </c>
      <c r="E638">
        <v>1.012830188679245</v>
      </c>
      <c r="F638">
        <v>0.05141579731743666</v>
      </c>
      <c r="G638">
        <v>-0.002546468057752382</v>
      </c>
      <c r="H638">
        <v>0.04</v>
      </c>
      <c r="I638">
        <v>0.08191851344213474</v>
      </c>
      <c r="J638" t="s">
        <v>774</v>
      </c>
      <c r="K638" t="s">
        <v>378</v>
      </c>
      <c r="L638">
        <v>3.3</v>
      </c>
      <c r="M638">
        <v>2.76</v>
      </c>
      <c r="N638">
        <v>0.8363636363636363</v>
      </c>
      <c r="O638">
        <v>6</v>
      </c>
      <c r="P638">
        <v>0.03002598081465924</v>
      </c>
      <c r="Q638">
        <v>0.321926545407979</v>
      </c>
      <c r="R638" t="s">
        <v>776</v>
      </c>
      <c r="S638" t="s">
        <v>789</v>
      </c>
      <c r="T638">
        <v>52563.402749</v>
      </c>
      <c r="U638" s="2">
        <v>44438</v>
      </c>
      <c r="V638" t="s">
        <v>796</v>
      </c>
    </row>
    <row r="639" spans="1:22">
      <c r="A639" s="1" t="s">
        <v>659</v>
      </c>
      <c r="B639">
        <f>HYPERLINK("https://www.suredividend.com/sure-analysis-AAT/","American Assets Trust Inc")</f>
        <v>0</v>
      </c>
      <c r="C639">
        <v>39.32</v>
      </c>
      <c r="D639">
        <v>38</v>
      </c>
      <c r="E639">
        <v>1.034736842105263</v>
      </c>
      <c r="F639">
        <v>0.03051881993896236</v>
      </c>
      <c r="G639">
        <v>-0.006806159571306147</v>
      </c>
      <c r="H639">
        <v>0.06</v>
      </c>
      <c r="I639">
        <v>0.08013663699199225</v>
      </c>
      <c r="J639" t="s">
        <v>774</v>
      </c>
      <c r="K639" t="s">
        <v>486</v>
      </c>
      <c r="L639">
        <v>1.92</v>
      </c>
      <c r="M639">
        <v>1.2</v>
      </c>
      <c r="N639">
        <v>0.625</v>
      </c>
      <c r="O639">
        <v>1</v>
      </c>
      <c r="P639">
        <v>0.04978904632428516</v>
      </c>
      <c r="Q639">
        <v>0.6866070589842781</v>
      </c>
      <c r="R639" t="s">
        <v>778</v>
      </c>
      <c r="S639" t="s">
        <v>790</v>
      </c>
      <c r="T639">
        <v>2388.646568</v>
      </c>
      <c r="U639" s="2">
        <v>44475</v>
      </c>
      <c r="V639" t="s">
        <v>796</v>
      </c>
    </row>
    <row r="640" spans="1:22">
      <c r="A640" s="1" t="s">
        <v>660</v>
      </c>
      <c r="B640">
        <f>HYPERLINK("https://www.suredividend.com/sure-analysis-USAC/","USA Compression Partners LP")</f>
        <v>0</v>
      </c>
      <c r="C640">
        <v>17.67</v>
      </c>
      <c r="D640">
        <v>14.6</v>
      </c>
      <c r="E640">
        <v>1.21027397260274</v>
      </c>
      <c r="F640">
        <v>0.1188455008488964</v>
      </c>
      <c r="G640">
        <v>-0.03745008220750312</v>
      </c>
      <c r="H640">
        <v>0.01</v>
      </c>
      <c r="I640">
        <v>0.0790141655007377</v>
      </c>
      <c r="J640" t="s">
        <v>774</v>
      </c>
      <c r="K640" t="s">
        <v>378</v>
      </c>
      <c r="L640">
        <v>2.09</v>
      </c>
      <c r="M640">
        <v>2.1</v>
      </c>
      <c r="N640">
        <v>1.004784688995215</v>
      </c>
      <c r="O640">
        <v>0</v>
      </c>
      <c r="P640">
        <v>0</v>
      </c>
      <c r="Q640">
        <v>0.8895176502290481</v>
      </c>
      <c r="R640" t="s">
        <v>777</v>
      </c>
      <c r="S640" t="s">
        <v>789</v>
      </c>
      <c r="T640">
        <v>1701.588367</v>
      </c>
      <c r="U640" s="2">
        <v>44421</v>
      </c>
      <c r="V640" t="s">
        <v>793</v>
      </c>
    </row>
    <row r="641" spans="1:22">
      <c r="A641" s="1" t="s">
        <v>661</v>
      </c>
      <c r="B641">
        <f>HYPERLINK("https://www.suredividend.com/sure-analysis-HR/","Healthcare Realty Trust, Inc.")</f>
        <v>0</v>
      </c>
      <c r="C641">
        <v>32.67</v>
      </c>
      <c r="D641">
        <v>31</v>
      </c>
      <c r="E641">
        <v>1.053870967741936</v>
      </c>
      <c r="F641">
        <v>0.03703703703703703</v>
      </c>
      <c r="G641">
        <v>-0.01043913426614862</v>
      </c>
      <c r="H641">
        <v>0.06</v>
      </c>
      <c r="I641">
        <v>0.07856181964268827</v>
      </c>
      <c r="J641" t="s">
        <v>774</v>
      </c>
      <c r="K641" t="s">
        <v>486</v>
      </c>
      <c r="L641">
        <v>1.7</v>
      </c>
      <c r="M641">
        <v>1.21</v>
      </c>
      <c r="N641">
        <v>0.711764705882353</v>
      </c>
      <c r="O641">
        <v>1</v>
      </c>
      <c r="P641">
        <v>0.008131151974167583</v>
      </c>
      <c r="Q641">
        <v>0.114603390665239</v>
      </c>
      <c r="R641" t="s">
        <v>778</v>
      </c>
      <c r="S641" t="s">
        <v>790</v>
      </c>
      <c r="T641">
        <v>4742.811522</v>
      </c>
      <c r="U641" s="2">
        <v>44425</v>
      </c>
      <c r="V641" t="s">
        <v>793</v>
      </c>
    </row>
    <row r="642" spans="1:22">
      <c r="A642" s="1" t="s">
        <v>662</v>
      </c>
      <c r="B642">
        <f>HYPERLINK("https://www.suredividend.com/sure-analysis-AQN/","Algonquin Power &amp; Utilities Corp")</f>
        <v>0</v>
      </c>
      <c r="C642">
        <v>14.97</v>
      </c>
      <c r="D642">
        <v>13</v>
      </c>
      <c r="E642">
        <v>1.151538461538462</v>
      </c>
      <c r="F642">
        <v>0.04542418169672679</v>
      </c>
      <c r="G642">
        <v>-0.02782530975347641</v>
      </c>
      <c r="H642">
        <v>0.065</v>
      </c>
      <c r="I642">
        <v>0.07825333383102229</v>
      </c>
      <c r="J642" t="s">
        <v>774</v>
      </c>
      <c r="K642" t="s">
        <v>486</v>
      </c>
      <c r="L642">
        <v>0.74</v>
      </c>
      <c r="M642">
        <v>0.68</v>
      </c>
      <c r="N642">
        <v>0.918918918918919</v>
      </c>
      <c r="O642">
        <v>9</v>
      </c>
      <c r="P642">
        <v>0.05530068195228077</v>
      </c>
      <c r="Q642">
        <v>-0.00235325312386</v>
      </c>
      <c r="R642" t="s">
        <v>776</v>
      </c>
      <c r="S642" t="s">
        <v>787</v>
      </c>
      <c r="T642">
        <v>9363.443977000001</v>
      </c>
      <c r="U642" s="2">
        <v>44423</v>
      </c>
      <c r="V642" t="s">
        <v>801</v>
      </c>
    </row>
    <row r="643" spans="1:22">
      <c r="A643" s="1" t="s">
        <v>663</v>
      </c>
      <c r="B643">
        <f>HYPERLINK("https://www.suredividend.com/sure-analysis-NLY/","Annaly Capital Management Inc")</f>
        <v>0</v>
      </c>
      <c r="C643">
        <v>8.58</v>
      </c>
      <c r="D643">
        <v>7.8</v>
      </c>
      <c r="E643">
        <v>1.1</v>
      </c>
      <c r="F643">
        <v>0.1025641025641026</v>
      </c>
      <c r="G643">
        <v>-0.01888150427373569</v>
      </c>
      <c r="H643">
        <v>-0.002</v>
      </c>
      <c r="I643">
        <v>0.07775202792805791</v>
      </c>
      <c r="J643" t="s">
        <v>774</v>
      </c>
      <c r="K643" t="s">
        <v>378</v>
      </c>
      <c r="L643">
        <v>1.11</v>
      </c>
      <c r="M643">
        <v>0.88</v>
      </c>
      <c r="N643">
        <v>0.7927927927927927</v>
      </c>
      <c r="O643">
        <v>0</v>
      </c>
      <c r="P643">
        <v>0.02589630491023409</v>
      </c>
      <c r="Q643">
        <v>0.311305038895936</v>
      </c>
      <c r="R643" t="s">
        <v>778</v>
      </c>
      <c r="S643" t="s">
        <v>790</v>
      </c>
      <c r="T643">
        <v>12391.863001</v>
      </c>
      <c r="U643" s="2">
        <v>44415</v>
      </c>
      <c r="V643" t="s">
        <v>800</v>
      </c>
    </row>
    <row r="644" spans="1:22">
      <c r="A644" s="1" t="s">
        <v>664</v>
      </c>
      <c r="B644">
        <f>HYPERLINK("https://www.suredividend.com/sure-analysis-SJT/","San Juan Basin Royalty Trust")</f>
        <v>0</v>
      </c>
      <c r="C644">
        <v>5.35</v>
      </c>
      <c r="D644">
        <v>5.45</v>
      </c>
      <c r="E644">
        <v>0.9816513761467889</v>
      </c>
      <c r="F644">
        <v>0.1271028037383178</v>
      </c>
      <c r="G644">
        <v>0.00371067713216866</v>
      </c>
      <c r="H644">
        <v>-0.03</v>
      </c>
      <c r="I644">
        <v>0.07759421934473631</v>
      </c>
      <c r="J644" t="s">
        <v>774</v>
      </c>
      <c r="K644" t="s">
        <v>378</v>
      </c>
      <c r="L644">
        <v>0.68</v>
      </c>
      <c r="M644">
        <v>0.68</v>
      </c>
      <c r="N644">
        <v>1</v>
      </c>
      <c r="O644">
        <v>1</v>
      </c>
      <c r="P644">
        <v>-0.03131223109334913</v>
      </c>
      <c r="Q644">
        <v>1.064429211078971</v>
      </c>
      <c r="R644" t="s">
        <v>776</v>
      </c>
      <c r="S644" t="s">
        <v>789</v>
      </c>
      <c r="T644">
        <v>242.831827</v>
      </c>
      <c r="U644" s="2">
        <v>44473</v>
      </c>
      <c r="V644" t="s">
        <v>796</v>
      </c>
    </row>
    <row r="645" spans="1:22">
      <c r="A645" s="1" t="s">
        <v>665</v>
      </c>
      <c r="B645">
        <f>HYPERLINK("https://www.suredividend.com/sure-analysis-SFL/","SFL Corporation Ltd")</f>
        <v>0</v>
      </c>
      <c r="C645">
        <v>8.359999999999999</v>
      </c>
      <c r="D645">
        <v>7.57</v>
      </c>
      <c r="E645">
        <v>1.104359313077939</v>
      </c>
      <c r="F645">
        <v>0.07177033492822966</v>
      </c>
      <c r="G645">
        <v>-0.01965729741270761</v>
      </c>
      <c r="H645">
        <v>0.03</v>
      </c>
      <c r="I645">
        <v>0.07620968794387162</v>
      </c>
      <c r="J645" t="s">
        <v>774</v>
      </c>
      <c r="K645" t="s">
        <v>378</v>
      </c>
      <c r="L645">
        <v>0.89</v>
      </c>
      <c r="M645">
        <v>0.6</v>
      </c>
      <c r="N645">
        <v>0.6741573033707865</v>
      </c>
      <c r="O645">
        <v>0</v>
      </c>
      <c r="P645">
        <v>0.03131030647754507</v>
      </c>
      <c r="Q645">
        <v>0.177974745370702</v>
      </c>
      <c r="R645" t="s">
        <v>776</v>
      </c>
      <c r="S645" t="s">
        <v>783</v>
      </c>
      <c r="T645">
        <v>1050.625615</v>
      </c>
      <c r="U645" s="2">
        <v>44428</v>
      </c>
      <c r="V645" t="s">
        <v>791</v>
      </c>
    </row>
    <row r="646" spans="1:22">
      <c r="A646" s="1" t="s">
        <v>666</v>
      </c>
      <c r="B646">
        <f>HYPERLINK("https://www.suredividend.com/sure-analysis-CHCT/","Community Healthcare Trust Inc")</f>
        <v>0</v>
      </c>
      <c r="C646">
        <v>47.18</v>
      </c>
      <c r="D646">
        <v>44</v>
      </c>
      <c r="E646">
        <v>1.072272727272727</v>
      </c>
      <c r="F646">
        <v>0.03666807969478593</v>
      </c>
      <c r="G646">
        <v>-0.01385915328311615</v>
      </c>
      <c r="H646">
        <v>0.06</v>
      </c>
      <c r="I646">
        <v>0.07605117769689596</v>
      </c>
      <c r="J646" t="s">
        <v>774</v>
      </c>
      <c r="K646" t="s">
        <v>486</v>
      </c>
      <c r="L646">
        <v>2.24</v>
      </c>
      <c r="M646">
        <v>1.73</v>
      </c>
      <c r="N646">
        <v>0.7723214285714285</v>
      </c>
      <c r="O646">
        <v>5</v>
      </c>
      <c r="P646">
        <v>0.01999361422185175</v>
      </c>
      <c r="Q646">
        <v>0.027647119412208</v>
      </c>
      <c r="R646" t="s">
        <v>778</v>
      </c>
      <c r="S646" t="s">
        <v>790</v>
      </c>
      <c r="T646">
        <v>1183.080115</v>
      </c>
      <c r="U646" s="2">
        <v>44430</v>
      </c>
      <c r="V646" t="s">
        <v>793</v>
      </c>
    </row>
    <row r="647" spans="1:22">
      <c r="A647" s="1" t="s">
        <v>667</v>
      </c>
      <c r="B647">
        <f>HYPERLINK("https://www.suredividend.com/sure-analysis-GNL/","Global Net Lease Inc")</f>
        <v>0</v>
      </c>
      <c r="C647">
        <v>16.29</v>
      </c>
      <c r="D647">
        <v>13</v>
      </c>
      <c r="E647">
        <v>1.253076923076923</v>
      </c>
      <c r="F647">
        <v>0.09821976672805403</v>
      </c>
      <c r="G647">
        <v>-0.04411762579045408</v>
      </c>
      <c r="H647">
        <v>0.029</v>
      </c>
      <c r="I647">
        <v>0.07551221803375707</v>
      </c>
      <c r="J647" t="s">
        <v>774</v>
      </c>
      <c r="K647" t="s">
        <v>378</v>
      </c>
      <c r="L647">
        <v>1.86</v>
      </c>
      <c r="M647">
        <v>1.6</v>
      </c>
      <c r="N647">
        <v>0.8602150537634409</v>
      </c>
      <c r="O647">
        <v>0</v>
      </c>
      <c r="P647">
        <v>0.01808400232019891</v>
      </c>
      <c r="Q647">
        <v>0.14581071711222</v>
      </c>
      <c r="R647" t="s">
        <v>778</v>
      </c>
      <c r="S647" t="s">
        <v>790</v>
      </c>
      <c r="T647">
        <v>1640.770118</v>
      </c>
      <c r="U647" s="2">
        <v>44421</v>
      </c>
      <c r="V647" t="s">
        <v>800</v>
      </c>
    </row>
    <row r="648" spans="1:22">
      <c r="A648" s="1" t="s">
        <v>668</v>
      </c>
      <c r="B648">
        <f>HYPERLINK("https://www.suredividend.com/sure-analysis-VIA/","Via Renewables Inc")</f>
        <v>0</v>
      </c>
      <c r="C648">
        <v>10.68</v>
      </c>
      <c r="D648">
        <v>10.6</v>
      </c>
      <c r="E648">
        <v>1.007547169811321</v>
      </c>
      <c r="F648">
        <v>0.06835205992509363</v>
      </c>
      <c r="G648">
        <v>-0.001502636392523016</v>
      </c>
      <c r="H648">
        <v>0.02</v>
      </c>
      <c r="I648">
        <v>0.07529060335407234</v>
      </c>
      <c r="J648" t="s">
        <v>774</v>
      </c>
      <c r="K648" t="s">
        <v>378</v>
      </c>
      <c r="L648">
        <v>0.85</v>
      </c>
      <c r="M648">
        <v>0.73</v>
      </c>
      <c r="N648">
        <v>0.8588235294117647</v>
      </c>
      <c r="O648">
        <v>0</v>
      </c>
      <c r="P648">
        <v>0</v>
      </c>
      <c r="Q648">
        <v>0.287702738314846</v>
      </c>
      <c r="R648" t="s">
        <v>776</v>
      </c>
      <c r="S648" t="s">
        <v>787</v>
      </c>
      <c r="T648">
        <v>167.403171</v>
      </c>
      <c r="U648" s="2">
        <v>44442</v>
      </c>
      <c r="V648" t="s">
        <v>796</v>
      </c>
    </row>
    <row r="649" spans="1:22">
      <c r="A649" s="1" t="s">
        <v>669</v>
      </c>
      <c r="B649">
        <f>HYPERLINK("https://www.suredividend.com/sure-analysis-NYMT/","New York Mortgage Trust Inc")</f>
        <v>0</v>
      </c>
      <c r="C649">
        <v>4.36</v>
      </c>
      <c r="D649">
        <v>4.05</v>
      </c>
      <c r="E649">
        <v>1.076543209876543</v>
      </c>
      <c r="F649">
        <v>0.09174311926605505</v>
      </c>
      <c r="G649">
        <v>-0.01464277171484252</v>
      </c>
      <c r="H649">
        <v>0.01</v>
      </c>
      <c r="I649">
        <v>0.07490541606069168</v>
      </c>
      <c r="J649" t="s">
        <v>774</v>
      </c>
      <c r="K649" t="s">
        <v>378</v>
      </c>
      <c r="L649">
        <v>0.45</v>
      </c>
      <c r="M649">
        <v>0.4</v>
      </c>
      <c r="N649">
        <v>0.888888888888889</v>
      </c>
      <c r="O649">
        <v>0</v>
      </c>
      <c r="P649">
        <v>0</v>
      </c>
      <c r="Q649">
        <v>0.7946698719277151</v>
      </c>
      <c r="R649" t="s">
        <v>776</v>
      </c>
      <c r="S649" t="s">
        <v>790</v>
      </c>
      <c r="T649">
        <v>1642.795405</v>
      </c>
      <c r="U649" s="2">
        <v>44435</v>
      </c>
      <c r="V649" t="s">
        <v>795</v>
      </c>
    </row>
    <row r="650" spans="1:22">
      <c r="A650" s="1" t="s">
        <v>670</v>
      </c>
      <c r="B650">
        <f>HYPERLINK("https://www.suredividend.com/sure-analysis-CBRL/","Cracker Barrel Old Country Store Inc")</f>
        <v>0</v>
      </c>
      <c r="C650">
        <v>136.28</v>
      </c>
      <c r="D650">
        <v>128</v>
      </c>
      <c r="E650">
        <v>1.0646875</v>
      </c>
      <c r="F650">
        <v>0.03815673613149399</v>
      </c>
      <c r="G650">
        <v>-0.01245801413063419</v>
      </c>
      <c r="H650">
        <v>0.052</v>
      </c>
      <c r="I650">
        <v>0.07238561822247425</v>
      </c>
      <c r="J650" t="s">
        <v>774</v>
      </c>
      <c r="K650" t="s">
        <v>486</v>
      </c>
      <c r="L650">
        <v>8.52</v>
      </c>
      <c r="M650">
        <v>5.2</v>
      </c>
      <c r="N650">
        <v>0.6103286384976526</v>
      </c>
      <c r="O650">
        <v>0</v>
      </c>
      <c r="P650">
        <v>0.02903366107118788</v>
      </c>
      <c r="Q650">
        <v>0.159426527616973</v>
      </c>
      <c r="R650" t="s">
        <v>776</v>
      </c>
      <c r="S650" t="s">
        <v>788</v>
      </c>
      <c r="T650">
        <v>3166.812693</v>
      </c>
      <c r="U650" s="2">
        <v>44466</v>
      </c>
      <c r="V650" t="s">
        <v>800</v>
      </c>
    </row>
    <row r="651" spans="1:22">
      <c r="A651" s="1" t="s">
        <v>671</v>
      </c>
      <c r="B651">
        <f>HYPERLINK("https://www.suredividend.com/sure-analysis-KREF/","KKR Real Estate Finance Trust Inc")</f>
        <v>0</v>
      </c>
      <c r="C651">
        <v>22.21</v>
      </c>
      <c r="D651">
        <v>21</v>
      </c>
      <c r="E651">
        <v>1.057619047619048</v>
      </c>
      <c r="F651">
        <v>0.0774425934263845</v>
      </c>
      <c r="G651">
        <v>-0.01114150853305007</v>
      </c>
      <c r="H651">
        <v>0.015</v>
      </c>
      <c r="I651">
        <v>0.07232870554201898</v>
      </c>
      <c r="J651" t="s">
        <v>774</v>
      </c>
      <c r="K651" t="s">
        <v>378</v>
      </c>
      <c r="L651">
        <v>2</v>
      </c>
      <c r="M651">
        <v>1.72</v>
      </c>
      <c r="N651">
        <v>0.86</v>
      </c>
      <c r="O651">
        <v>0</v>
      </c>
      <c r="P651">
        <v>0.01025271344829148</v>
      </c>
      <c r="Q651">
        <v>0.3895819253289201</v>
      </c>
      <c r="R651" t="s">
        <v>778</v>
      </c>
      <c r="S651" t="s">
        <v>790</v>
      </c>
      <c r="T651">
        <v>1224.02456</v>
      </c>
      <c r="U651" s="2">
        <v>44404</v>
      </c>
      <c r="V651" t="s">
        <v>791</v>
      </c>
    </row>
    <row r="652" spans="1:22">
      <c r="A652" s="1" t="s">
        <v>672</v>
      </c>
      <c r="B652">
        <f>HYPERLINK("https://www.suredividend.com/sure-analysis-EPR/","EPR Properties")</f>
        <v>0</v>
      </c>
      <c r="C652">
        <v>52.03</v>
      </c>
      <c r="D652">
        <v>39</v>
      </c>
      <c r="E652">
        <v>1.334102564102564</v>
      </c>
      <c r="F652">
        <v>0.05765904285988852</v>
      </c>
      <c r="G652">
        <v>-0.05602138418778679</v>
      </c>
      <c r="H652">
        <v>0.08</v>
      </c>
      <c r="I652">
        <v>0.07216289477321514</v>
      </c>
      <c r="J652" t="s">
        <v>774</v>
      </c>
      <c r="K652" t="s">
        <v>486</v>
      </c>
      <c r="L652">
        <v>2.8</v>
      </c>
      <c r="M652">
        <v>3</v>
      </c>
      <c r="N652">
        <v>1.071428571428571</v>
      </c>
      <c r="O652">
        <v>0</v>
      </c>
      <c r="P652">
        <v>0.03012896281839894</v>
      </c>
      <c r="Q652">
        <v>1.479513987001977</v>
      </c>
      <c r="R652" t="s">
        <v>778</v>
      </c>
      <c r="S652" t="s">
        <v>790</v>
      </c>
      <c r="T652">
        <v>3938.4147</v>
      </c>
      <c r="U652" s="2">
        <v>44428</v>
      </c>
      <c r="V652" t="s">
        <v>795</v>
      </c>
    </row>
    <row r="653" spans="1:22">
      <c r="A653" s="1" t="s">
        <v>673</v>
      </c>
      <c r="B653">
        <f>HYPERLINK("https://www.suredividend.com/sure-analysis-VST/","Vistra Corp")</f>
        <v>0</v>
      </c>
      <c r="C653">
        <v>19.33</v>
      </c>
      <c r="D653">
        <v>16</v>
      </c>
      <c r="E653">
        <v>1.208125</v>
      </c>
      <c r="F653">
        <v>0.03103983445421625</v>
      </c>
      <c r="G653">
        <v>-0.0371078952278513</v>
      </c>
      <c r="H653">
        <v>0.08</v>
      </c>
      <c r="I653">
        <v>0.07153588150926526</v>
      </c>
      <c r="J653" t="s">
        <v>774</v>
      </c>
      <c r="K653" t="s">
        <v>774</v>
      </c>
      <c r="L653">
        <v>-1.34</v>
      </c>
      <c r="M653">
        <v>0.6</v>
      </c>
      <c r="N653">
        <v>9.99</v>
      </c>
      <c r="O653">
        <v>1</v>
      </c>
      <c r="P653">
        <v>0.0796084730466029</v>
      </c>
      <c r="Q653">
        <v>0.06848511830432201</v>
      </c>
      <c r="R653" t="s">
        <v>776</v>
      </c>
      <c r="S653" t="s">
        <v>787</v>
      </c>
      <c r="T653">
        <v>9495.969354000001</v>
      </c>
      <c r="U653" s="2">
        <v>44414</v>
      </c>
      <c r="V653" t="s">
        <v>793</v>
      </c>
    </row>
    <row r="654" spans="1:22">
      <c r="A654" s="1" t="s">
        <v>674</v>
      </c>
      <c r="B654">
        <f>HYPERLINK("https://www.suredividend.com/sure-analysis-BRMK/","Broadmark Realty Capital Inc")</f>
        <v>0</v>
      </c>
      <c r="C654">
        <v>10.23</v>
      </c>
      <c r="D654">
        <v>8.800000000000001</v>
      </c>
      <c r="E654">
        <v>1.1625</v>
      </c>
      <c r="F654">
        <v>0.08211143695014662</v>
      </c>
      <c r="G654">
        <v>-0.02966564567290708</v>
      </c>
      <c r="H654">
        <v>0.03</v>
      </c>
      <c r="I654">
        <v>0.07079687141145774</v>
      </c>
      <c r="J654" t="s">
        <v>774</v>
      </c>
      <c r="K654" t="s">
        <v>378</v>
      </c>
      <c r="L654">
        <v>0.88</v>
      </c>
      <c r="M654">
        <v>0.84</v>
      </c>
      <c r="N654">
        <v>0.9545454545454545</v>
      </c>
      <c r="O654">
        <v>1</v>
      </c>
      <c r="P654">
        <v>0</v>
      </c>
      <c r="Q654">
        <v>0.09906622303316501</v>
      </c>
      <c r="R654" t="s">
        <v>778</v>
      </c>
      <c r="S654" t="s">
        <v>790</v>
      </c>
      <c r="T654">
        <v>1358.253414</v>
      </c>
      <c r="U654" s="2">
        <v>44418</v>
      </c>
      <c r="V654" t="s">
        <v>792</v>
      </c>
    </row>
    <row r="655" spans="1:22">
      <c r="A655" s="1" t="s">
        <v>675</v>
      </c>
      <c r="B655">
        <f>HYPERLINK("https://www.suredividend.com/sure-analysis-EIFZF/","Exchange Income Corp.")</f>
        <v>0</v>
      </c>
      <c r="C655">
        <v>36.27</v>
      </c>
      <c r="D655">
        <v>29</v>
      </c>
      <c r="E655">
        <v>1.250689655172414</v>
      </c>
      <c r="F655">
        <v>0.05045492142266336</v>
      </c>
      <c r="G655">
        <v>-0.04375299384220233</v>
      </c>
      <c r="H655">
        <v>0.07000000000000001</v>
      </c>
      <c r="I655">
        <v>0.07051206343978422</v>
      </c>
      <c r="J655" t="s">
        <v>774</v>
      </c>
      <c r="K655" t="s">
        <v>486</v>
      </c>
      <c r="L655">
        <v>1.9</v>
      </c>
      <c r="M655">
        <v>1.83</v>
      </c>
      <c r="N655">
        <v>0.9631578947368422</v>
      </c>
      <c r="O655">
        <v>0</v>
      </c>
      <c r="P655">
        <v>0.04032911905890546</v>
      </c>
      <c r="Q655">
        <v>0.5403497744897351</v>
      </c>
      <c r="R655" t="s">
        <v>776</v>
      </c>
      <c r="S655" t="s">
        <v>783</v>
      </c>
      <c r="T655">
        <v>1379.301275</v>
      </c>
      <c r="U655" s="2">
        <v>44422</v>
      </c>
      <c r="V655" t="s">
        <v>791</v>
      </c>
    </row>
    <row r="656" spans="1:22">
      <c r="A656" s="1" t="s">
        <v>676</v>
      </c>
      <c r="B656">
        <f>HYPERLINK("https://www.suredividend.com/sure-analysis-BGS/","B&amp;G Foods, Inc")</f>
        <v>0</v>
      </c>
      <c r="C656">
        <v>29.18</v>
      </c>
      <c r="D656">
        <v>27</v>
      </c>
      <c r="E656">
        <v>1.080740740740741</v>
      </c>
      <c r="F656">
        <v>0.06511309115832761</v>
      </c>
      <c r="G656">
        <v>-0.01540937704946843</v>
      </c>
      <c r="H656">
        <v>0.03</v>
      </c>
      <c r="I656">
        <v>0.06934003500699437</v>
      </c>
      <c r="J656" t="s">
        <v>774</v>
      </c>
      <c r="K656" t="s">
        <v>378</v>
      </c>
      <c r="L656">
        <v>2.1</v>
      </c>
      <c r="M656">
        <v>1.9</v>
      </c>
      <c r="N656">
        <v>0.9047619047619047</v>
      </c>
      <c r="O656">
        <v>0</v>
      </c>
      <c r="P656">
        <v>0</v>
      </c>
      <c r="Q656">
        <v>0.072962172590117</v>
      </c>
      <c r="R656" t="s">
        <v>776</v>
      </c>
      <c r="S656" t="s">
        <v>785</v>
      </c>
      <c r="T656">
        <v>1867.610497</v>
      </c>
      <c r="U656" s="2">
        <v>44417</v>
      </c>
      <c r="V656" t="s">
        <v>797</v>
      </c>
    </row>
    <row r="657" spans="1:22">
      <c r="A657" s="1" t="s">
        <v>677</v>
      </c>
      <c r="B657">
        <f>HYPERLINK("https://www.suredividend.com/sure-analysis-NTST/","Netstreit Corp")</f>
        <v>0</v>
      </c>
      <c r="C657">
        <v>24.4</v>
      </c>
      <c r="D657">
        <v>21</v>
      </c>
      <c r="E657">
        <v>1.161904761904762</v>
      </c>
      <c r="F657">
        <v>0.03278688524590164</v>
      </c>
      <c r="G657">
        <v>-0.02956624653597917</v>
      </c>
      <c r="H657">
        <v>0.07000000000000001</v>
      </c>
      <c r="I657">
        <v>0.06918563192442639</v>
      </c>
      <c r="J657" t="s">
        <v>774</v>
      </c>
      <c r="K657" t="s">
        <v>486</v>
      </c>
      <c r="L657">
        <v>0.97</v>
      </c>
      <c r="M657">
        <v>0.8</v>
      </c>
      <c r="N657">
        <v>0.8247422680412372</v>
      </c>
      <c r="O657">
        <v>1</v>
      </c>
      <c r="P657">
        <v>0.04978904632428516</v>
      </c>
      <c r="Q657">
        <v>0.400545712016025</v>
      </c>
      <c r="R657" t="s">
        <v>778</v>
      </c>
      <c r="S657" t="s">
        <v>790</v>
      </c>
      <c r="T657">
        <v>963.035121</v>
      </c>
      <c r="U657" s="2">
        <v>44430</v>
      </c>
      <c r="V657" t="s">
        <v>793</v>
      </c>
    </row>
    <row r="658" spans="1:22">
      <c r="A658" s="1" t="s">
        <v>678</v>
      </c>
      <c r="B658">
        <f>HYPERLINK("https://www.suredividend.com/sure-analysis-LWSCF/","Sienna Senior Living, Inc.")</f>
        <v>0</v>
      </c>
      <c r="C658">
        <v>11.64</v>
      </c>
      <c r="D658">
        <v>12.5</v>
      </c>
      <c r="E658">
        <v>0.9312</v>
      </c>
      <c r="F658">
        <v>0.06443298969072164</v>
      </c>
      <c r="G658">
        <v>0.01435834522951862</v>
      </c>
      <c r="H658">
        <v>0</v>
      </c>
      <c r="I658">
        <v>0.06900583809388361</v>
      </c>
      <c r="J658" t="s">
        <v>774</v>
      </c>
      <c r="K658" t="s">
        <v>378</v>
      </c>
      <c r="L658">
        <v>1</v>
      </c>
      <c r="M658">
        <v>0.75</v>
      </c>
      <c r="N658">
        <v>0.75</v>
      </c>
      <c r="O658">
        <v>0</v>
      </c>
      <c r="P658">
        <v>0</v>
      </c>
      <c r="Q658">
        <v>0.302013422818792</v>
      </c>
      <c r="R658" t="s">
        <v>776</v>
      </c>
      <c r="S658" t="s">
        <v>781</v>
      </c>
      <c r="T658">
        <v>780.335392</v>
      </c>
      <c r="U658" s="2">
        <v>44422</v>
      </c>
      <c r="V658" t="s">
        <v>791</v>
      </c>
    </row>
    <row r="659" spans="1:22">
      <c r="A659" s="1" t="s">
        <v>679</v>
      </c>
      <c r="B659">
        <f>HYPERLINK("https://www.suredividend.com/sure-analysis-GMRE/","Global Medical REIT Inc")</f>
        <v>0</v>
      </c>
      <c r="C659">
        <v>15.98</v>
      </c>
      <c r="D659">
        <v>14.1</v>
      </c>
      <c r="E659">
        <v>1.133333333333333</v>
      </c>
      <c r="F659">
        <v>0.05131414267834793</v>
      </c>
      <c r="G659">
        <v>-0.02472191044052729</v>
      </c>
      <c r="H659">
        <v>0.05</v>
      </c>
      <c r="I659">
        <v>0.06810305652106607</v>
      </c>
      <c r="J659" t="s">
        <v>774</v>
      </c>
      <c r="K659" t="s">
        <v>378</v>
      </c>
      <c r="L659">
        <v>0.9399999999999999</v>
      </c>
      <c r="M659">
        <v>0.82</v>
      </c>
      <c r="N659">
        <v>0.8723404255319149</v>
      </c>
      <c r="O659">
        <v>1</v>
      </c>
      <c r="P659">
        <v>0.009571122817161548</v>
      </c>
      <c r="Q659">
        <v>0.225859842069034</v>
      </c>
      <c r="R659" t="s">
        <v>778</v>
      </c>
      <c r="S659" t="s">
        <v>790</v>
      </c>
      <c r="T659">
        <v>1017.521166</v>
      </c>
      <c r="U659" s="2">
        <v>44418</v>
      </c>
      <c r="V659" t="s">
        <v>791</v>
      </c>
    </row>
    <row r="660" spans="1:22">
      <c r="A660" s="1" t="s">
        <v>680</v>
      </c>
      <c r="B660">
        <f>HYPERLINK("https://www.suredividend.com/sure-analysis-EVA/","Enviva Partners LP")</f>
        <v>0</v>
      </c>
      <c r="C660">
        <v>65.68000000000001</v>
      </c>
      <c r="D660">
        <v>54</v>
      </c>
      <c r="E660">
        <v>1.216296296296296</v>
      </c>
      <c r="F660">
        <v>0.04963459196102313</v>
      </c>
      <c r="G660">
        <v>-0.03840516234996094</v>
      </c>
      <c r="H660">
        <v>0.055</v>
      </c>
      <c r="I660">
        <v>0.06792758349626604</v>
      </c>
      <c r="J660" t="s">
        <v>774</v>
      </c>
      <c r="K660" t="s">
        <v>378</v>
      </c>
      <c r="L660">
        <v>4.58</v>
      </c>
      <c r="M660">
        <v>3.26</v>
      </c>
      <c r="N660">
        <v>0.7117903930131004</v>
      </c>
      <c r="O660">
        <v>4</v>
      </c>
      <c r="P660">
        <v>0.07999957023861581</v>
      </c>
      <c r="Q660">
        <v>0.6012019639410811</v>
      </c>
      <c r="R660" t="s">
        <v>776</v>
      </c>
      <c r="S660" t="s">
        <v>782</v>
      </c>
      <c r="T660">
        <v>2882.76746</v>
      </c>
      <c r="U660" s="2">
        <v>44420</v>
      </c>
      <c r="V660" t="s">
        <v>793</v>
      </c>
    </row>
    <row r="661" spans="1:22">
      <c r="A661" s="1" t="s">
        <v>681</v>
      </c>
      <c r="B661">
        <f>HYPERLINK("https://www.suredividend.com/sure-analysis-ACRE/","Ares Commercial Real Estate Corp")</f>
        <v>0</v>
      </c>
      <c r="C661">
        <v>15.7</v>
      </c>
      <c r="D661">
        <v>15.1</v>
      </c>
      <c r="E661">
        <v>1.039735099337748</v>
      </c>
      <c r="F661">
        <v>0.08407643312101912</v>
      </c>
      <c r="G661">
        <v>-0.007762905504282491</v>
      </c>
      <c r="H661">
        <v>0</v>
      </c>
      <c r="I661">
        <v>0.06687126068634619</v>
      </c>
      <c r="J661" t="s">
        <v>774</v>
      </c>
      <c r="K661" t="s">
        <v>378</v>
      </c>
      <c r="L661">
        <v>1.48</v>
      </c>
      <c r="M661">
        <v>1.32</v>
      </c>
      <c r="N661">
        <v>0.891891891891892</v>
      </c>
      <c r="O661">
        <v>0</v>
      </c>
      <c r="P661">
        <v>0</v>
      </c>
      <c r="Q661">
        <v>0.729598322813747</v>
      </c>
      <c r="R661" t="s">
        <v>778</v>
      </c>
      <c r="S661" t="s">
        <v>790</v>
      </c>
      <c r="T661">
        <v>728.998244</v>
      </c>
      <c r="U661" s="2">
        <v>44430</v>
      </c>
      <c r="V661" t="s">
        <v>791</v>
      </c>
    </row>
    <row r="662" spans="1:22">
      <c r="A662" s="1" t="s">
        <v>682</v>
      </c>
      <c r="B662">
        <f>HYPERLINK("https://www.suredividend.com/sure-analysis-ABEV/","Ambev S.A.")</f>
        <v>0</v>
      </c>
      <c r="C662">
        <v>2.79</v>
      </c>
      <c r="D662">
        <v>2.95</v>
      </c>
      <c r="E662">
        <v>0.9457627118644067</v>
      </c>
      <c r="F662">
        <v>0.02867383512544803</v>
      </c>
      <c r="G662">
        <v>0.01121513827607257</v>
      </c>
      <c r="H662">
        <v>0.03</v>
      </c>
      <c r="I662">
        <v>0.06649171425103417</v>
      </c>
      <c r="J662" t="s">
        <v>774</v>
      </c>
      <c r="K662" t="s">
        <v>486</v>
      </c>
      <c r="L662">
        <v>0.13</v>
      </c>
      <c r="M662">
        <v>0.08</v>
      </c>
      <c r="N662">
        <v>0.6153846153846154</v>
      </c>
      <c r="O662">
        <v>0</v>
      </c>
      <c r="P662">
        <v>0.02383625553960966</v>
      </c>
      <c r="Q662">
        <v>0.224382323254487</v>
      </c>
      <c r="R662" t="s">
        <v>776</v>
      </c>
      <c r="S662" t="s">
        <v>785</v>
      </c>
      <c r="T662">
        <v>43918.659994</v>
      </c>
      <c r="U662" s="2">
        <v>44439</v>
      </c>
      <c r="V662" t="s">
        <v>799</v>
      </c>
    </row>
    <row r="663" spans="1:22">
      <c r="A663" s="1" t="s">
        <v>683</v>
      </c>
      <c r="B663">
        <f>HYPERLINK("https://www.suredividend.com/sure-analysis-DTEGY/","Deutsche Telekom AG")</f>
        <v>0</v>
      </c>
      <c r="C663">
        <v>19.21</v>
      </c>
      <c r="D663">
        <v>17</v>
      </c>
      <c r="E663">
        <v>1.13</v>
      </c>
      <c r="F663">
        <v>0.03748047891723061</v>
      </c>
      <c r="G663">
        <v>-0.02414720285851069</v>
      </c>
      <c r="H663">
        <v>0.06</v>
      </c>
      <c r="I663">
        <v>0.06620799475248296</v>
      </c>
      <c r="J663" t="s">
        <v>774</v>
      </c>
      <c r="K663" t="s">
        <v>486</v>
      </c>
      <c r="L663">
        <v>1.1</v>
      </c>
      <c r="M663">
        <v>0.72</v>
      </c>
      <c r="N663">
        <v>0.6545454545454544</v>
      </c>
      <c r="O663">
        <v>1</v>
      </c>
      <c r="P663">
        <v>0.01087212085035083</v>
      </c>
      <c r="Q663">
        <v>0.195863564963721</v>
      </c>
      <c r="R663" t="s">
        <v>776</v>
      </c>
      <c r="S663" t="s">
        <v>780</v>
      </c>
      <c r="T663">
        <v>91348.583164</v>
      </c>
      <c r="U663" s="2">
        <v>44439</v>
      </c>
      <c r="V663" t="s">
        <v>796</v>
      </c>
    </row>
    <row r="664" spans="1:22">
      <c r="A664" s="1" t="s">
        <v>684</v>
      </c>
      <c r="B664">
        <f>HYPERLINK("https://www.suredividend.com/sure-analysis-FDUS/","Fidus Investment Corp")</f>
        <v>0</v>
      </c>
      <c r="C664">
        <v>17.66</v>
      </c>
      <c r="D664">
        <v>17.85</v>
      </c>
      <c r="E664">
        <v>0.9893557422969187</v>
      </c>
      <c r="F664">
        <v>0.07248018120045301</v>
      </c>
      <c r="G664">
        <v>0.00214255460685342</v>
      </c>
      <c r="H664">
        <v>0</v>
      </c>
      <c r="I664">
        <v>0.0654773177549004</v>
      </c>
      <c r="J664" t="s">
        <v>774</v>
      </c>
      <c r="K664" t="s">
        <v>378</v>
      </c>
      <c r="L664">
        <v>1.7</v>
      </c>
      <c r="M664">
        <v>1.28</v>
      </c>
      <c r="N664">
        <v>0.7529411764705882</v>
      </c>
      <c r="O664">
        <v>0</v>
      </c>
      <c r="P664">
        <v>0</v>
      </c>
      <c r="Q664">
        <v>0.77913550050238</v>
      </c>
      <c r="R664" t="s">
        <v>779</v>
      </c>
      <c r="S664" t="s">
        <v>786</v>
      </c>
      <c r="T664">
        <v>428.387622</v>
      </c>
      <c r="U664" s="2">
        <v>44420</v>
      </c>
      <c r="V664" t="s">
        <v>791</v>
      </c>
    </row>
    <row r="665" spans="1:22">
      <c r="A665" s="1" t="s">
        <v>685</v>
      </c>
      <c r="B665">
        <f>HYPERLINK("https://www.suredividend.com/sure-analysis-EXR/","Extra Space Storage Inc.")</f>
        <v>0</v>
      </c>
      <c r="C665">
        <v>184.17</v>
      </c>
      <c r="D665">
        <v>144</v>
      </c>
      <c r="E665">
        <v>1.278958333333333</v>
      </c>
      <c r="F665">
        <v>0.02714882988543194</v>
      </c>
      <c r="G665">
        <v>-0.04801803519834913</v>
      </c>
      <c r="H665">
        <v>0.09</v>
      </c>
      <c r="I665">
        <v>0.06499312312572059</v>
      </c>
      <c r="J665" t="s">
        <v>774</v>
      </c>
      <c r="K665" t="s">
        <v>486</v>
      </c>
      <c r="L665">
        <v>6.53</v>
      </c>
      <c r="M665">
        <v>5</v>
      </c>
      <c r="N665">
        <v>0.7656967840735068</v>
      </c>
      <c r="O665">
        <v>11</v>
      </c>
      <c r="P665">
        <v>0.06991580420882992</v>
      </c>
      <c r="Q665">
        <v>0.6430879312914991</v>
      </c>
      <c r="R665" t="s">
        <v>778</v>
      </c>
      <c r="S665" t="s">
        <v>790</v>
      </c>
      <c r="T665">
        <v>24482.725706</v>
      </c>
      <c r="U665" s="2">
        <v>44416</v>
      </c>
      <c r="V665" t="s">
        <v>791</v>
      </c>
    </row>
    <row r="666" spans="1:22">
      <c r="A666" s="1" t="s">
        <v>686</v>
      </c>
      <c r="B666">
        <f>HYPERLINK("https://www.suredividend.com/sure-analysis-APTS/","Preferred Apartment Communities Inc")</f>
        <v>0</v>
      </c>
      <c r="C666">
        <v>12.36</v>
      </c>
      <c r="D666">
        <v>11.6</v>
      </c>
      <c r="E666">
        <v>1.06551724137931</v>
      </c>
      <c r="F666">
        <v>0.05663430420711974</v>
      </c>
      <c r="G666">
        <v>-0.01261186613268062</v>
      </c>
      <c r="H666">
        <v>0.02</v>
      </c>
      <c r="I666">
        <v>0.06440796000578253</v>
      </c>
      <c r="J666" t="s">
        <v>774</v>
      </c>
      <c r="K666" t="s">
        <v>378</v>
      </c>
      <c r="L666">
        <v>0.98</v>
      </c>
      <c r="M666">
        <v>0.7</v>
      </c>
      <c r="N666">
        <v>0.7142857142857143</v>
      </c>
      <c r="O666">
        <v>0</v>
      </c>
      <c r="P666">
        <v>0.05154749679728043</v>
      </c>
      <c r="Q666">
        <v>1.447227332977228</v>
      </c>
      <c r="R666" t="s">
        <v>778</v>
      </c>
      <c r="S666" t="s">
        <v>790</v>
      </c>
      <c r="T666">
        <v>648.40685</v>
      </c>
      <c r="U666" s="2">
        <v>44447</v>
      </c>
      <c r="V666" t="s">
        <v>796</v>
      </c>
    </row>
    <row r="667" spans="1:22">
      <c r="A667" s="1" t="s">
        <v>687</v>
      </c>
      <c r="B667">
        <f>HYPERLINK("https://www.suredividend.com/sure-analysis-KNOP/","KNOT Offshore Partners LP")</f>
        <v>0</v>
      </c>
      <c r="C667">
        <v>19.78</v>
      </c>
      <c r="D667">
        <v>16.5</v>
      </c>
      <c r="E667">
        <v>1.198787878787879</v>
      </c>
      <c r="F667">
        <v>0.1051567239635996</v>
      </c>
      <c r="G667">
        <v>-0.03561259149306883</v>
      </c>
      <c r="H667">
        <v>0</v>
      </c>
      <c r="I667">
        <v>0.06342091727791921</v>
      </c>
      <c r="J667" t="s">
        <v>774</v>
      </c>
      <c r="K667" t="s">
        <v>773</v>
      </c>
      <c r="L667">
        <v>2.75</v>
      </c>
      <c r="M667">
        <v>2.08</v>
      </c>
      <c r="N667">
        <v>0.7563636363636363</v>
      </c>
      <c r="O667">
        <v>0</v>
      </c>
      <c r="P667">
        <v>0</v>
      </c>
      <c r="Q667">
        <v>0.6572147134017861</v>
      </c>
      <c r="R667" t="s">
        <v>777</v>
      </c>
      <c r="S667" t="s">
        <v>783</v>
      </c>
      <c r="T667">
        <v>654.896781</v>
      </c>
      <c r="U667" s="2">
        <v>44435</v>
      </c>
      <c r="V667" t="s">
        <v>791</v>
      </c>
    </row>
    <row r="668" spans="1:22">
      <c r="A668" s="1" t="s">
        <v>688</v>
      </c>
      <c r="B668">
        <f>HYPERLINK("https://www.suredividend.com/sure-analysis-STWD/","Starwood Property Trust Inc")</f>
        <v>0</v>
      </c>
      <c r="C668">
        <v>25.54</v>
      </c>
      <c r="D668">
        <v>25</v>
      </c>
      <c r="E668">
        <v>1.0216</v>
      </c>
      <c r="F668">
        <v>0.07517619420516836</v>
      </c>
      <c r="G668">
        <v>-0.00426488458564156</v>
      </c>
      <c r="H668">
        <v>0</v>
      </c>
      <c r="I668">
        <v>0.06260300849810796</v>
      </c>
      <c r="J668" t="s">
        <v>774</v>
      </c>
      <c r="K668" t="s">
        <v>378</v>
      </c>
      <c r="L668">
        <v>2</v>
      </c>
      <c r="M668">
        <v>1.92</v>
      </c>
      <c r="N668">
        <v>0.96</v>
      </c>
      <c r="O668">
        <v>0</v>
      </c>
      <c r="P668">
        <v>0</v>
      </c>
      <c r="Q668">
        <v>0.8060816312081841</v>
      </c>
      <c r="R668" t="s">
        <v>778</v>
      </c>
      <c r="S668" t="s">
        <v>790</v>
      </c>
      <c r="T668">
        <v>7353.973897</v>
      </c>
      <c r="U668" s="2">
        <v>44418</v>
      </c>
      <c r="V668" t="s">
        <v>791</v>
      </c>
    </row>
    <row r="669" spans="1:22">
      <c r="A669" s="1" t="s">
        <v>689</v>
      </c>
      <c r="B669">
        <f>HYPERLINK("https://www.suredividend.com/sure-analysis-EPRT/","Essential Properties Realty Trust Inc")</f>
        <v>0</v>
      </c>
      <c r="C669">
        <v>29.21</v>
      </c>
      <c r="D669">
        <v>24</v>
      </c>
      <c r="E669">
        <v>1.217083333333333</v>
      </c>
      <c r="F669">
        <v>0.03423485107839781</v>
      </c>
      <c r="G669">
        <v>-0.03852955918726708</v>
      </c>
      <c r="H669">
        <v>0.07000000000000001</v>
      </c>
      <c r="I669">
        <v>0.06207475261532824</v>
      </c>
      <c r="J669" t="s">
        <v>774</v>
      </c>
      <c r="K669" t="s">
        <v>486</v>
      </c>
      <c r="L669">
        <v>1.31</v>
      </c>
      <c r="M669">
        <v>1</v>
      </c>
      <c r="N669">
        <v>0.7633587786259541</v>
      </c>
      <c r="O669">
        <v>2</v>
      </c>
      <c r="P669">
        <v>0.05061112176150684</v>
      </c>
      <c r="Q669">
        <v>0.578993140484188</v>
      </c>
      <c r="R669" t="s">
        <v>778</v>
      </c>
      <c r="S669" t="s">
        <v>790</v>
      </c>
      <c r="T669">
        <v>3435.346328</v>
      </c>
      <c r="U669" s="2">
        <v>44414</v>
      </c>
      <c r="V669" t="s">
        <v>793</v>
      </c>
    </row>
    <row r="670" spans="1:22">
      <c r="A670" s="1" t="s">
        <v>690</v>
      </c>
      <c r="B670">
        <f>HYPERLINK("https://www.suredividend.com/sure-analysis-ADC/","Agree Realty Corp.")</f>
        <v>0</v>
      </c>
      <c r="C670">
        <v>69.55</v>
      </c>
      <c r="D670">
        <v>62</v>
      </c>
      <c r="E670">
        <v>1.121774193548387</v>
      </c>
      <c r="F670">
        <v>0.03623292595255212</v>
      </c>
      <c r="G670">
        <v>-0.02272022504112059</v>
      </c>
      <c r="H670">
        <v>0.05</v>
      </c>
      <c r="I670">
        <v>0.06156091724603829</v>
      </c>
      <c r="J670" t="s">
        <v>774</v>
      </c>
      <c r="K670" t="s">
        <v>486</v>
      </c>
      <c r="L670">
        <v>3.47</v>
      </c>
      <c r="M670">
        <v>2.52</v>
      </c>
      <c r="N670">
        <v>0.7262247838616714</v>
      </c>
      <c r="O670">
        <v>10</v>
      </c>
      <c r="P670">
        <v>0.05024607263868264</v>
      </c>
      <c r="Q670">
        <v>0.102933001267483</v>
      </c>
      <c r="R670" t="s">
        <v>778</v>
      </c>
      <c r="S670" t="s">
        <v>790</v>
      </c>
      <c r="T670">
        <v>4785.965345</v>
      </c>
      <c r="U670" s="2">
        <v>44425</v>
      </c>
      <c r="V670" t="s">
        <v>798</v>
      </c>
    </row>
    <row r="671" spans="1:22">
      <c r="A671" s="1" t="s">
        <v>691</v>
      </c>
      <c r="B671">
        <f>HYPERLINK("https://www.suredividend.com/sure-analysis-GBDC/","Golub Capital BDC Inc")</f>
        <v>0</v>
      </c>
      <c r="C671">
        <v>15.97</v>
      </c>
      <c r="D671">
        <v>15.6</v>
      </c>
      <c r="E671">
        <v>1.023717948717949</v>
      </c>
      <c r="F671">
        <v>0.07263619286161552</v>
      </c>
      <c r="G671">
        <v>-0.004677237093510755</v>
      </c>
      <c r="H671">
        <v>0</v>
      </c>
      <c r="I671">
        <v>0.0602829346200322</v>
      </c>
      <c r="J671" t="s">
        <v>774</v>
      </c>
      <c r="K671" t="s">
        <v>378</v>
      </c>
      <c r="L671">
        <v>1.2</v>
      </c>
      <c r="M671">
        <v>1.16</v>
      </c>
      <c r="N671">
        <v>0.9666666666666667</v>
      </c>
      <c r="O671">
        <v>0</v>
      </c>
      <c r="P671">
        <v>0</v>
      </c>
      <c r="Q671">
        <v>0.255385003110897</v>
      </c>
      <c r="R671" t="s">
        <v>779</v>
      </c>
      <c r="S671" t="s">
        <v>786</v>
      </c>
      <c r="T671">
        <v>2696.280601</v>
      </c>
      <c r="U671" s="2">
        <v>44418</v>
      </c>
      <c r="V671" t="s">
        <v>791</v>
      </c>
    </row>
    <row r="672" spans="1:22">
      <c r="A672" s="1" t="s">
        <v>692</v>
      </c>
      <c r="B672">
        <f>HYPERLINK("https://www.suredividend.com/sure-analysis-PFLT/","PennantPark Floating Rate Capital Ltd")</f>
        <v>0</v>
      </c>
      <c r="C672">
        <v>13.27</v>
      </c>
      <c r="D672">
        <v>12</v>
      </c>
      <c r="E672">
        <v>1.105833333333333</v>
      </c>
      <c r="F672">
        <v>0.08590806330067821</v>
      </c>
      <c r="G672">
        <v>-0.01991878638088695</v>
      </c>
      <c r="H672">
        <v>0.001</v>
      </c>
      <c r="I672">
        <v>0.06002228399816922</v>
      </c>
      <c r="J672" t="s">
        <v>774</v>
      </c>
      <c r="K672" t="s">
        <v>773</v>
      </c>
      <c r="L672">
        <v>1.62</v>
      </c>
      <c r="M672">
        <v>1.14</v>
      </c>
      <c r="N672">
        <v>0.7037037037037036</v>
      </c>
      <c r="O672">
        <v>0</v>
      </c>
      <c r="P672">
        <v>0</v>
      </c>
      <c r="Q672">
        <v>0.685141856213161</v>
      </c>
      <c r="R672" t="s">
        <v>779</v>
      </c>
      <c r="S672" t="s">
        <v>786</v>
      </c>
      <c r="T672">
        <v>511.015935</v>
      </c>
      <c r="U672" s="2">
        <v>44420</v>
      </c>
      <c r="V672" t="s">
        <v>800</v>
      </c>
    </row>
    <row r="673" spans="1:22">
      <c r="A673" s="1" t="s">
        <v>693</v>
      </c>
      <c r="B673">
        <f>HYPERLINK("https://www.suredividend.com/sure-analysis-IDEXY/","Industria De Diseno Textil SA")</f>
        <v>0</v>
      </c>
      <c r="C673">
        <v>18.15</v>
      </c>
      <c r="D673">
        <v>13.5</v>
      </c>
      <c r="E673">
        <v>1.344444444444444</v>
      </c>
      <c r="F673">
        <v>0.0231404958677686</v>
      </c>
      <c r="G673">
        <v>-0.05747814825489672</v>
      </c>
      <c r="H673">
        <v>0.1</v>
      </c>
      <c r="I673">
        <v>0.05913484335841934</v>
      </c>
      <c r="J673" t="s">
        <v>774</v>
      </c>
      <c r="K673" t="s">
        <v>774</v>
      </c>
      <c r="L673">
        <v>0.54</v>
      </c>
      <c r="M673">
        <v>0.42</v>
      </c>
      <c r="N673">
        <v>0.7777777777777777</v>
      </c>
      <c r="O673">
        <v>0</v>
      </c>
      <c r="P673">
        <v>0.05154749679728043</v>
      </c>
      <c r="Q673">
        <v>0.311320754716981</v>
      </c>
      <c r="R673" t="s">
        <v>776</v>
      </c>
      <c r="S673" t="s">
        <v>788</v>
      </c>
      <c r="T673">
        <v>112635.80328</v>
      </c>
      <c r="U673" s="2">
        <v>44458</v>
      </c>
      <c r="V673" t="s">
        <v>791</v>
      </c>
    </row>
    <row r="674" spans="1:22">
      <c r="A674" s="1" t="s">
        <v>694</v>
      </c>
      <c r="B674">
        <f>HYPERLINK("https://www.suredividend.com/sure-analysis-NSA/","National Storage Affiliates Trust")</f>
        <v>0</v>
      </c>
      <c r="C674">
        <v>59.5</v>
      </c>
      <c r="D674">
        <v>47</v>
      </c>
      <c r="E674">
        <v>1.265957446808511</v>
      </c>
      <c r="F674">
        <v>0.02756302521008403</v>
      </c>
      <c r="G674">
        <v>-0.04607072181976912</v>
      </c>
      <c r="H674">
        <v>0.08</v>
      </c>
      <c r="I674">
        <v>0.05873197926179508</v>
      </c>
      <c r="J674" t="s">
        <v>774</v>
      </c>
      <c r="K674" t="s">
        <v>486</v>
      </c>
      <c r="L674">
        <v>2.13</v>
      </c>
      <c r="M674">
        <v>1.64</v>
      </c>
      <c r="N674">
        <v>0.7699530516431925</v>
      </c>
      <c r="O674">
        <v>6</v>
      </c>
      <c r="P674">
        <v>0.06998280282640246</v>
      </c>
      <c r="Q674">
        <v>0.816175741346821</v>
      </c>
      <c r="R674" t="s">
        <v>778</v>
      </c>
      <c r="S674" t="s">
        <v>790</v>
      </c>
      <c r="T674">
        <v>5194.926039</v>
      </c>
      <c r="U674" s="2">
        <v>44427</v>
      </c>
      <c r="V674" t="s">
        <v>791</v>
      </c>
    </row>
    <row r="675" spans="1:22">
      <c r="A675" s="1" t="s">
        <v>695</v>
      </c>
      <c r="B675">
        <f>HYPERLINK("https://www.suredividend.com/sure-analysis-VNO/","Vornado Realty Trust")</f>
        <v>0</v>
      </c>
      <c r="C675">
        <v>45.13</v>
      </c>
      <c r="D675">
        <v>42</v>
      </c>
      <c r="E675">
        <v>1.07452380952381</v>
      </c>
      <c r="F675">
        <v>0.0469754043873255</v>
      </c>
      <c r="G675">
        <v>-0.01427268469205112</v>
      </c>
      <c r="H675">
        <v>0.03</v>
      </c>
      <c r="I675">
        <v>0.05840400597721107</v>
      </c>
      <c r="J675" t="s">
        <v>774</v>
      </c>
      <c r="K675" t="s">
        <v>378</v>
      </c>
      <c r="L675">
        <v>2.78</v>
      </c>
      <c r="M675">
        <v>2.12</v>
      </c>
      <c r="N675">
        <v>0.7625899280575541</v>
      </c>
      <c r="O675">
        <v>0</v>
      </c>
      <c r="P675">
        <v>0.01994322923769842</v>
      </c>
      <c r="Q675">
        <v>0.400198609731876</v>
      </c>
      <c r="R675" t="s">
        <v>776</v>
      </c>
      <c r="S675" t="s">
        <v>780</v>
      </c>
      <c r="T675">
        <v>8643.221310999999</v>
      </c>
      <c r="U675" s="2">
        <v>44411</v>
      </c>
      <c r="V675" t="s">
        <v>791</v>
      </c>
    </row>
    <row r="676" spans="1:22">
      <c r="A676" s="1" t="s">
        <v>696</v>
      </c>
      <c r="B676">
        <f>HYPERLINK("https://www.suredividend.com/sure-analysis-CSWC/","Capital Southwest Corp.")</f>
        <v>0</v>
      </c>
      <c r="C676">
        <v>27.45</v>
      </c>
      <c r="D676">
        <v>23</v>
      </c>
      <c r="E676">
        <v>1.193478260869565</v>
      </c>
      <c r="F676">
        <v>0.06411657559198543</v>
      </c>
      <c r="G676">
        <v>-0.03475602948043477</v>
      </c>
      <c r="H676">
        <v>0.03</v>
      </c>
      <c r="I676">
        <v>0.05740462086404063</v>
      </c>
      <c r="J676" t="s">
        <v>774</v>
      </c>
      <c r="K676" t="s">
        <v>378</v>
      </c>
      <c r="L676">
        <v>1.79</v>
      </c>
      <c r="M676">
        <v>1.76</v>
      </c>
      <c r="N676">
        <v>0.9832402234636871</v>
      </c>
      <c r="O676">
        <v>5</v>
      </c>
      <c r="P676">
        <v>0.02996744995959233</v>
      </c>
      <c r="Q676">
        <v>1.098940199716876</v>
      </c>
      <c r="R676" t="s">
        <v>779</v>
      </c>
      <c r="S676" t="s">
        <v>786</v>
      </c>
      <c r="T676">
        <v>608.9446830000001</v>
      </c>
      <c r="U676" s="2">
        <v>44435</v>
      </c>
      <c r="V676" t="s">
        <v>791</v>
      </c>
    </row>
    <row r="677" spans="1:22">
      <c r="A677" s="1" t="s">
        <v>697</v>
      </c>
      <c r="B677">
        <f>HYPERLINK("https://www.suredividend.com/sure-analysis-BEP/","Brookfield Renewable Partners LP")</f>
        <v>0</v>
      </c>
      <c r="C677">
        <v>37.8</v>
      </c>
      <c r="D677">
        <v>32</v>
      </c>
      <c r="E677">
        <v>1.18125</v>
      </c>
      <c r="F677">
        <v>0.03227513227513228</v>
      </c>
      <c r="G677">
        <v>-0.03276581882233354</v>
      </c>
      <c r="H677">
        <v>0.06</v>
      </c>
      <c r="I677">
        <v>0.05715541958349091</v>
      </c>
      <c r="J677" t="s">
        <v>774</v>
      </c>
      <c r="K677" t="s">
        <v>486</v>
      </c>
      <c r="L677">
        <v>1.9</v>
      </c>
      <c r="M677">
        <v>1.22</v>
      </c>
      <c r="N677">
        <v>0.6421052631578947</v>
      </c>
      <c r="O677">
        <v>0</v>
      </c>
      <c r="P677">
        <v>0.05039574430966676</v>
      </c>
      <c r="Q677">
        <v>0.085013131367857</v>
      </c>
      <c r="R677" t="s">
        <v>777</v>
      </c>
      <c r="S677" t="s">
        <v>787</v>
      </c>
      <c r="T677">
        <v>10461.641307</v>
      </c>
      <c r="U677" s="2">
        <v>44439</v>
      </c>
      <c r="V677" t="s">
        <v>796</v>
      </c>
    </row>
    <row r="678" spans="1:22">
      <c r="A678" s="1" t="s">
        <v>698</v>
      </c>
      <c r="B678">
        <f>HYPERLINK("https://www.suredividend.com/sure-analysis-TSLX/","Sixth Street Specialty Lending Inc")</f>
        <v>0</v>
      </c>
      <c r="C678">
        <v>23.41</v>
      </c>
      <c r="D678">
        <v>20</v>
      </c>
      <c r="E678">
        <v>1.1705</v>
      </c>
      <c r="F678">
        <v>0.07005553182400683</v>
      </c>
      <c r="G678">
        <v>-0.03099567291928329</v>
      </c>
      <c r="H678">
        <v>0.02</v>
      </c>
      <c r="I678">
        <v>0.05630003893660551</v>
      </c>
      <c r="J678" t="s">
        <v>774</v>
      </c>
      <c r="K678" t="s">
        <v>378</v>
      </c>
      <c r="L678">
        <v>1.95</v>
      </c>
      <c r="M678">
        <v>1.64</v>
      </c>
      <c r="N678">
        <v>0.841025641025641</v>
      </c>
      <c r="O678">
        <v>6</v>
      </c>
      <c r="P678">
        <v>0.01992196624507558</v>
      </c>
      <c r="Q678">
        <v>0.54760636881623</v>
      </c>
      <c r="R678" t="s">
        <v>779</v>
      </c>
      <c r="S678" t="s">
        <v>786</v>
      </c>
      <c r="T678">
        <v>1693.463156</v>
      </c>
      <c r="U678" s="2">
        <v>44417</v>
      </c>
      <c r="V678" t="s">
        <v>791</v>
      </c>
    </row>
    <row r="679" spans="1:22">
      <c r="A679" s="1" t="s">
        <v>699</v>
      </c>
      <c r="B679">
        <f>HYPERLINK("https://www.suredividend.com/sure-analysis-HRZN/","Horizon Technology Finance Corp")</f>
        <v>0</v>
      </c>
      <c r="C679">
        <v>17.12</v>
      </c>
      <c r="D679">
        <v>14.95</v>
      </c>
      <c r="E679">
        <v>1.145150501672241</v>
      </c>
      <c r="F679">
        <v>0.07009345794392523</v>
      </c>
      <c r="G679">
        <v>-0.02674311100438509</v>
      </c>
      <c r="H679">
        <v>0.02</v>
      </c>
      <c r="I679">
        <v>0.05623107786838943</v>
      </c>
      <c r="J679" t="s">
        <v>774</v>
      </c>
      <c r="K679" t="s">
        <v>378</v>
      </c>
      <c r="L679">
        <v>1.3</v>
      </c>
      <c r="M679">
        <v>1.2</v>
      </c>
      <c r="N679">
        <v>0.923076923076923</v>
      </c>
      <c r="O679">
        <v>0</v>
      </c>
      <c r="P679">
        <v>0</v>
      </c>
      <c r="Q679">
        <v>0.407804006133007</v>
      </c>
      <c r="R679" t="s">
        <v>779</v>
      </c>
      <c r="S679" t="s">
        <v>786</v>
      </c>
      <c r="T679">
        <v>343.576559</v>
      </c>
      <c r="U679" s="2">
        <v>44409</v>
      </c>
      <c r="V679" t="s">
        <v>791</v>
      </c>
    </row>
    <row r="680" spans="1:22">
      <c r="A680" s="1" t="s">
        <v>700</v>
      </c>
      <c r="B680">
        <f>HYPERLINK("https://www.suredividend.com/sure-analysis-IRT/","Independence Realty Trust Inc")</f>
        <v>0</v>
      </c>
      <c r="C680">
        <v>21.58</v>
      </c>
      <c r="D680">
        <v>20</v>
      </c>
      <c r="E680">
        <v>1.079</v>
      </c>
      <c r="F680">
        <v>0.02224281742354032</v>
      </c>
      <c r="G680">
        <v>-0.01509189566650004</v>
      </c>
      <c r="H680">
        <v>0.046</v>
      </c>
      <c r="I680">
        <v>0.05599931088547572</v>
      </c>
      <c r="J680" t="s">
        <v>774</v>
      </c>
      <c r="K680" t="s">
        <v>774</v>
      </c>
      <c r="L680">
        <v>0.78</v>
      </c>
      <c r="M680">
        <v>0.48</v>
      </c>
      <c r="N680">
        <v>0.6153846153846153</v>
      </c>
      <c r="O680">
        <v>0</v>
      </c>
      <c r="P680">
        <v>0.1075663432482901</v>
      </c>
      <c r="Q680">
        <v>0.8715966976989281</v>
      </c>
      <c r="R680" t="s">
        <v>778</v>
      </c>
      <c r="S680" t="s">
        <v>790</v>
      </c>
      <c r="T680">
        <v>2239.985861</v>
      </c>
      <c r="U680" s="2">
        <v>44452</v>
      </c>
      <c r="V680" t="s">
        <v>800</v>
      </c>
    </row>
    <row r="681" spans="1:22">
      <c r="A681" s="1" t="s">
        <v>701</v>
      </c>
      <c r="B681">
        <f>HYPERLINK("https://www.suredividend.com/sure-analysis-ARR/","ARMOUR Residential REIT Inc")</f>
        <v>0</v>
      </c>
      <c r="C681">
        <v>10.66</v>
      </c>
      <c r="D681">
        <v>7.4</v>
      </c>
      <c r="E681">
        <v>1.44054054054054</v>
      </c>
      <c r="F681">
        <v>0.1125703564727955</v>
      </c>
      <c r="G681">
        <v>-0.0704025943436043</v>
      </c>
      <c r="H681">
        <v>0.027</v>
      </c>
      <c r="I681">
        <v>0.05597079786808346</v>
      </c>
      <c r="J681" t="s">
        <v>774</v>
      </c>
      <c r="K681" t="s">
        <v>378</v>
      </c>
      <c r="L681">
        <v>1.05</v>
      </c>
      <c r="M681">
        <v>1.2</v>
      </c>
      <c r="N681">
        <v>1.142857142857143</v>
      </c>
      <c r="O681">
        <v>0</v>
      </c>
      <c r="P681">
        <v>-0.0263528193848318</v>
      </c>
      <c r="Q681">
        <v>0.24727340232979</v>
      </c>
      <c r="R681" t="s">
        <v>778</v>
      </c>
      <c r="S681" t="s">
        <v>790</v>
      </c>
      <c r="T681">
        <v>765.87328</v>
      </c>
      <c r="U681" s="2">
        <v>44403</v>
      </c>
      <c r="V681" t="s">
        <v>800</v>
      </c>
    </row>
    <row r="682" spans="1:22">
      <c r="A682" s="1" t="s">
        <v>702</v>
      </c>
      <c r="B682">
        <f>HYPERLINK("https://www.suredividend.com/sure-analysis-OXSQ/","Oxford Square Capital Corp")</f>
        <v>0</v>
      </c>
      <c r="C682">
        <v>4.1</v>
      </c>
      <c r="D682">
        <v>3.6</v>
      </c>
      <c r="E682">
        <v>1.138888888888889</v>
      </c>
      <c r="F682">
        <v>0.1024390243902439</v>
      </c>
      <c r="G682">
        <v>-0.02567526327954117</v>
      </c>
      <c r="H682">
        <v>0</v>
      </c>
      <c r="I682">
        <v>0.05492609034127094</v>
      </c>
      <c r="J682" t="s">
        <v>774</v>
      </c>
      <c r="K682" t="s">
        <v>378</v>
      </c>
      <c r="L682">
        <v>0.36</v>
      </c>
      <c r="M682">
        <v>0.42</v>
      </c>
      <c r="N682">
        <v>1.166666666666667</v>
      </c>
      <c r="O682">
        <v>0</v>
      </c>
      <c r="P682">
        <v>-0.05892880441130122</v>
      </c>
      <c r="Q682">
        <v>0.7844058445756641</v>
      </c>
      <c r="R682" t="s">
        <v>779</v>
      </c>
      <c r="S682" t="s">
        <v>786</v>
      </c>
      <c r="T682">
        <v>205.445107</v>
      </c>
      <c r="U682" s="2">
        <v>44405</v>
      </c>
      <c r="V682" t="s">
        <v>791</v>
      </c>
    </row>
    <row r="683" spans="1:22">
      <c r="A683" s="1" t="s">
        <v>703</v>
      </c>
      <c r="B683">
        <f>HYPERLINK("https://www.suredividend.com/sure-analysis-GOOD/","Gladstone Commercial Corp")</f>
        <v>0</v>
      </c>
      <c r="C683">
        <v>21.81</v>
      </c>
      <c r="D683">
        <v>19</v>
      </c>
      <c r="E683">
        <v>1.147894736842105</v>
      </c>
      <c r="F683">
        <v>0.06877579092159561</v>
      </c>
      <c r="G683">
        <v>-0.02720890345209492</v>
      </c>
      <c r="H683">
        <v>0.02</v>
      </c>
      <c r="I683">
        <v>0.0547981187218356</v>
      </c>
      <c r="J683" t="s">
        <v>774</v>
      </c>
      <c r="K683" t="s">
        <v>378</v>
      </c>
      <c r="L683">
        <v>1.56</v>
      </c>
      <c r="M683">
        <v>1.5</v>
      </c>
      <c r="N683">
        <v>0.9615384615384615</v>
      </c>
      <c r="O683">
        <v>0</v>
      </c>
      <c r="P683">
        <v>0</v>
      </c>
      <c r="Q683">
        <v>0.354103731571046</v>
      </c>
      <c r="R683" t="s">
        <v>778</v>
      </c>
      <c r="S683" t="s">
        <v>790</v>
      </c>
      <c r="T683">
        <v>798.937978</v>
      </c>
      <c r="U683" s="2">
        <v>44424</v>
      </c>
      <c r="V683" t="s">
        <v>795</v>
      </c>
    </row>
    <row r="684" spans="1:22">
      <c r="A684" s="1" t="s">
        <v>704</v>
      </c>
      <c r="B684">
        <f>HYPERLINK("https://www.suredividend.com/sure-analysis-NMFC/","New Mountain Finance Corp")</f>
        <v>0</v>
      </c>
      <c r="C684">
        <v>13.66</v>
      </c>
      <c r="D684">
        <v>12.2</v>
      </c>
      <c r="E684">
        <v>1.119672131147541</v>
      </c>
      <c r="F684">
        <v>0.08784773060029283</v>
      </c>
      <c r="G684">
        <v>-0.0223535530384239</v>
      </c>
      <c r="H684">
        <v>-0.005</v>
      </c>
      <c r="I684">
        <v>0.05446356317794998</v>
      </c>
      <c r="J684" t="s">
        <v>774</v>
      </c>
      <c r="K684" t="s">
        <v>378</v>
      </c>
      <c r="L684">
        <v>1.25</v>
      </c>
      <c r="M684">
        <v>1.2</v>
      </c>
      <c r="N684">
        <v>0.96</v>
      </c>
      <c r="O684">
        <v>0</v>
      </c>
      <c r="P684">
        <v>-0.005050763379468082</v>
      </c>
      <c r="Q684">
        <v>0.550052842710547</v>
      </c>
      <c r="R684" t="s">
        <v>779</v>
      </c>
      <c r="S684" t="s">
        <v>786</v>
      </c>
      <c r="T684">
        <v>1321.811316</v>
      </c>
      <c r="U684" s="2">
        <v>44413</v>
      </c>
      <c r="V684" t="s">
        <v>791</v>
      </c>
    </row>
    <row r="685" spans="1:22">
      <c r="A685" s="1" t="s">
        <v>705</v>
      </c>
      <c r="B685">
        <f>HYPERLINK("https://www.suredividend.com/sure-analysis-STOR/","Store Capital Corp")</f>
        <v>0</v>
      </c>
      <c r="C685">
        <v>34.21</v>
      </c>
      <c r="D685">
        <v>29</v>
      </c>
      <c r="E685">
        <v>1.179655172413793</v>
      </c>
      <c r="F685">
        <v>0.04501607717041801</v>
      </c>
      <c r="G685">
        <v>-0.03250443087128341</v>
      </c>
      <c r="H685">
        <v>0.04</v>
      </c>
      <c r="I685">
        <v>0.05352233932078532</v>
      </c>
      <c r="J685" t="s">
        <v>774</v>
      </c>
      <c r="K685" t="s">
        <v>378</v>
      </c>
      <c r="L685">
        <v>1.95</v>
      </c>
      <c r="M685">
        <v>1.54</v>
      </c>
      <c r="N685">
        <v>0.7897435897435898</v>
      </c>
      <c r="O685">
        <v>8</v>
      </c>
      <c r="P685">
        <v>0.05680549653640732</v>
      </c>
      <c r="Q685">
        <v>0.310006696273946</v>
      </c>
      <c r="R685" t="s">
        <v>778</v>
      </c>
      <c r="S685" t="s">
        <v>790</v>
      </c>
      <c r="T685">
        <v>9207.60211</v>
      </c>
      <c r="U685" s="2">
        <v>44439</v>
      </c>
      <c r="V685" t="s">
        <v>799</v>
      </c>
    </row>
    <row r="686" spans="1:22">
      <c r="A686" s="1" t="s">
        <v>706</v>
      </c>
      <c r="B686">
        <f>HYPERLINK("https://www.suredividend.com/sure-analysis-SACH/","Sachem Capital Corp")</f>
        <v>0</v>
      </c>
      <c r="C686">
        <v>6.27</v>
      </c>
      <c r="D686">
        <v>5.15</v>
      </c>
      <c r="E686">
        <v>1.21747572815534</v>
      </c>
      <c r="F686">
        <v>0.07655502392344497</v>
      </c>
      <c r="G686">
        <v>-0.03859154394177022</v>
      </c>
      <c r="H686">
        <v>0.02</v>
      </c>
      <c r="I686">
        <v>0.05218816504851365</v>
      </c>
      <c r="J686" t="s">
        <v>774</v>
      </c>
      <c r="K686" t="s">
        <v>378</v>
      </c>
      <c r="L686">
        <v>0.46</v>
      </c>
      <c r="M686">
        <v>0.48</v>
      </c>
      <c r="N686">
        <v>1.043478260869565</v>
      </c>
      <c r="O686">
        <v>0</v>
      </c>
      <c r="P686">
        <v>0</v>
      </c>
      <c r="Q686">
        <v>0.502262443438913</v>
      </c>
      <c r="R686" t="s">
        <v>778</v>
      </c>
      <c r="S686" t="s">
        <v>790</v>
      </c>
      <c r="T686">
        <v>164.515553</v>
      </c>
      <c r="U686" s="2">
        <v>44427</v>
      </c>
      <c r="V686" t="s">
        <v>791</v>
      </c>
    </row>
    <row r="687" spans="1:22">
      <c r="A687" s="1" t="s">
        <v>707</v>
      </c>
      <c r="B687">
        <f>HYPERLINK("https://www.suredividend.com/sure-analysis-ARCC/","Ares Capital Corp")</f>
        <v>0</v>
      </c>
      <c r="C687">
        <v>21.02</v>
      </c>
      <c r="D687">
        <v>16</v>
      </c>
      <c r="E687">
        <v>1.31375</v>
      </c>
      <c r="F687">
        <v>0.07802093244529019</v>
      </c>
      <c r="G687">
        <v>-0.05311452594923471</v>
      </c>
      <c r="H687">
        <v>0.028</v>
      </c>
      <c r="I687">
        <v>0.05213662732751811</v>
      </c>
      <c r="J687" t="s">
        <v>774</v>
      </c>
      <c r="K687" t="s">
        <v>378</v>
      </c>
      <c r="L687">
        <v>1.74</v>
      </c>
      <c r="M687">
        <v>1.64</v>
      </c>
      <c r="N687">
        <v>0.9425287356321839</v>
      </c>
      <c r="O687">
        <v>3</v>
      </c>
      <c r="P687">
        <v>0.02104646949148603</v>
      </c>
      <c r="Q687">
        <v>0.6356992925445071</v>
      </c>
      <c r="R687" t="s">
        <v>779</v>
      </c>
      <c r="S687" t="s">
        <v>786</v>
      </c>
      <c r="T687">
        <v>9381.016537</v>
      </c>
      <c r="U687" s="2">
        <v>44411</v>
      </c>
      <c r="V687" t="s">
        <v>800</v>
      </c>
    </row>
    <row r="688" spans="1:22">
      <c r="A688" s="1" t="s">
        <v>708</v>
      </c>
      <c r="B688">
        <f>HYPERLINK("https://www.suredividend.com/sure-analysis-ILPT/","Industrial Logistics Properties Trust")</f>
        <v>0</v>
      </c>
      <c r="C688">
        <v>27.97</v>
      </c>
      <c r="D688">
        <v>25</v>
      </c>
      <c r="E688">
        <v>1.1188</v>
      </c>
      <c r="F688">
        <v>0.04719342152306043</v>
      </c>
      <c r="G688">
        <v>-0.02220118082140843</v>
      </c>
      <c r="H688">
        <v>0.03</v>
      </c>
      <c r="I688">
        <v>0.05175081385288172</v>
      </c>
      <c r="J688" t="s">
        <v>774</v>
      </c>
      <c r="K688" t="s">
        <v>378</v>
      </c>
      <c r="L688">
        <v>1.89</v>
      </c>
      <c r="M688">
        <v>1.32</v>
      </c>
      <c r="N688">
        <v>0.6984126984126985</v>
      </c>
      <c r="O688">
        <v>0</v>
      </c>
      <c r="P688">
        <v>0.02036554426441151</v>
      </c>
      <c r="Q688">
        <v>0.334361371467122</v>
      </c>
      <c r="R688" t="s">
        <v>778</v>
      </c>
      <c r="S688" t="s">
        <v>790</v>
      </c>
      <c r="T688">
        <v>1808.55449</v>
      </c>
      <c r="U688" s="2">
        <v>44425</v>
      </c>
      <c r="V688" t="s">
        <v>791</v>
      </c>
    </row>
    <row r="689" spans="1:22">
      <c r="A689" s="1" t="s">
        <v>709</v>
      </c>
      <c r="B689">
        <f>HYPERLINK("https://www.suredividend.com/sure-analysis-TPVG/","TriplePoint Venture Growth BDC Corp")</f>
        <v>0</v>
      </c>
      <c r="C689">
        <v>17.02</v>
      </c>
      <c r="D689">
        <v>13.3</v>
      </c>
      <c r="E689">
        <v>1.279699248120301</v>
      </c>
      <c r="F689">
        <v>0.0846063454759107</v>
      </c>
      <c r="G689">
        <v>-0.04812829562426857</v>
      </c>
      <c r="H689">
        <v>0.02</v>
      </c>
      <c r="I689">
        <v>0.05156111998820201</v>
      </c>
      <c r="J689" t="s">
        <v>774</v>
      </c>
      <c r="K689" t="s">
        <v>378</v>
      </c>
      <c r="L689">
        <v>1.33</v>
      </c>
      <c r="M689">
        <v>1.44</v>
      </c>
      <c r="N689">
        <v>1.082706766917293</v>
      </c>
      <c r="O689">
        <v>0</v>
      </c>
      <c r="P689">
        <v>0</v>
      </c>
      <c r="Q689">
        <v>0.695428093072043</v>
      </c>
      <c r="R689" t="s">
        <v>779</v>
      </c>
      <c r="S689" t="s">
        <v>786</v>
      </c>
      <c r="T689">
        <v>520.26555</v>
      </c>
      <c r="U689" s="2">
        <v>44413</v>
      </c>
      <c r="V689" t="s">
        <v>791</v>
      </c>
    </row>
    <row r="690" spans="1:22">
      <c r="A690" s="1" t="s">
        <v>710</v>
      </c>
      <c r="B690">
        <f>HYPERLINK("https://www.suredividend.com/sure-analysis-HTA/","Healthcare Trust of America Inc")</f>
        <v>0</v>
      </c>
      <c r="C690">
        <v>33.29</v>
      </c>
      <c r="D690">
        <v>31</v>
      </c>
      <c r="E690">
        <v>1.073870967741935</v>
      </c>
      <c r="F690">
        <v>0.03875037548813458</v>
      </c>
      <c r="G690">
        <v>-0.01415286255968673</v>
      </c>
      <c r="H690">
        <v>0.03</v>
      </c>
      <c r="I690">
        <v>0.05097237649999742</v>
      </c>
      <c r="J690" t="s">
        <v>774</v>
      </c>
      <c r="K690" t="s">
        <v>486</v>
      </c>
      <c r="L690">
        <v>1.77</v>
      </c>
      <c r="M690">
        <v>1.29</v>
      </c>
      <c r="N690">
        <v>0.728813559322034</v>
      </c>
      <c r="O690">
        <v>8</v>
      </c>
      <c r="P690">
        <v>0.01504434962783696</v>
      </c>
      <c r="Q690">
        <v>0.374946066446138</v>
      </c>
      <c r="R690" t="s">
        <v>778</v>
      </c>
      <c r="S690" t="s">
        <v>790</v>
      </c>
      <c r="T690">
        <v>7322.69798</v>
      </c>
      <c r="U690" s="2">
        <v>44432</v>
      </c>
      <c r="V690" t="s">
        <v>798</v>
      </c>
    </row>
    <row r="691" spans="1:22">
      <c r="A691" s="1" t="s">
        <v>711</v>
      </c>
      <c r="B691">
        <f>HYPERLINK("https://www.suredividend.com/sure-analysis-GLPI/","Gaming and Leisure Properties Inc")</f>
        <v>0</v>
      </c>
      <c r="C691">
        <v>48.78</v>
      </c>
      <c r="D691">
        <v>46.2</v>
      </c>
      <c r="E691">
        <v>1.055844155844156</v>
      </c>
      <c r="F691">
        <v>0.05494054940549406</v>
      </c>
      <c r="G691">
        <v>-0.01080927430512857</v>
      </c>
      <c r="H691">
        <v>0.008999999999999999</v>
      </c>
      <c r="I691">
        <v>0.04938416793178813</v>
      </c>
      <c r="J691" t="s">
        <v>774</v>
      </c>
      <c r="K691" t="s">
        <v>378</v>
      </c>
      <c r="L691">
        <v>3.3</v>
      </c>
      <c r="M691">
        <v>2.68</v>
      </c>
      <c r="N691">
        <v>0.8121212121212122</v>
      </c>
      <c r="O691">
        <v>0</v>
      </c>
      <c r="P691">
        <v>0.008799010229586735</v>
      </c>
      <c r="Q691">
        <v>0.3774673923059521</v>
      </c>
      <c r="R691" t="s">
        <v>778</v>
      </c>
      <c r="S691" t="s">
        <v>790</v>
      </c>
      <c r="T691">
        <v>11558.072424</v>
      </c>
      <c r="U691" s="2">
        <v>44421</v>
      </c>
      <c r="V691" t="s">
        <v>800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55.73</v>
      </c>
      <c r="D692">
        <v>41</v>
      </c>
      <c r="E692">
        <v>1.359268292682927</v>
      </c>
      <c r="F692">
        <v>0.03229858245110354</v>
      </c>
      <c r="G692">
        <v>-0.05954295798758236</v>
      </c>
      <c r="H692">
        <v>0.08</v>
      </c>
      <c r="I692">
        <v>0.04888322797754507</v>
      </c>
      <c r="J692" t="s">
        <v>774</v>
      </c>
      <c r="K692" t="s">
        <v>486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0.355192685785125</v>
      </c>
      <c r="R692" t="s">
        <v>778</v>
      </c>
      <c r="S692" t="s">
        <v>790</v>
      </c>
      <c r="T692">
        <v>21287.322581</v>
      </c>
      <c r="U692" s="2">
        <v>44435</v>
      </c>
      <c r="V692" t="s">
        <v>796</v>
      </c>
    </row>
    <row r="693" spans="1:22">
      <c r="A693" s="1" t="s">
        <v>713</v>
      </c>
      <c r="B693">
        <f>HYPERLINK("https://www.suredividend.com/sure-analysis-EIC/","Eagle Point Income Company Inc")</f>
        <v>0</v>
      </c>
      <c r="C693">
        <v>18.94</v>
      </c>
      <c r="D693">
        <v>14.56</v>
      </c>
      <c r="E693">
        <v>1.300824175824176</v>
      </c>
      <c r="F693">
        <v>0.07602956705385427</v>
      </c>
      <c r="G693">
        <v>-0.05124018866516433</v>
      </c>
      <c r="H693">
        <v>0.02</v>
      </c>
      <c r="I693">
        <v>0.04603209185801838</v>
      </c>
      <c r="J693" t="s">
        <v>774</v>
      </c>
      <c r="K693" t="s">
        <v>378</v>
      </c>
      <c r="L693">
        <v>1.12</v>
      </c>
      <c r="M693">
        <v>1.44</v>
      </c>
      <c r="N693">
        <v>1.285714285714286</v>
      </c>
      <c r="O693">
        <v>1</v>
      </c>
      <c r="P693">
        <v>0.02001586442069092</v>
      </c>
      <c r="Q693">
        <v>0.5093137571955241</v>
      </c>
      <c r="R693" t="s">
        <v>776</v>
      </c>
      <c r="S693" t="s">
        <v>786</v>
      </c>
      <c r="T693">
        <v>113.997801</v>
      </c>
      <c r="U693" s="2">
        <v>44428</v>
      </c>
      <c r="V693" t="s">
        <v>791</v>
      </c>
    </row>
    <row r="694" spans="1:22">
      <c r="A694" s="1" t="s">
        <v>714</v>
      </c>
      <c r="B694">
        <f>HYPERLINK("https://www.suredividend.com/sure-analysis-VLO/","Valero Energy Corp.")</f>
        <v>0</v>
      </c>
      <c r="C694">
        <v>78.13</v>
      </c>
      <c r="D694">
        <v>64</v>
      </c>
      <c r="E694">
        <v>1.22078125</v>
      </c>
      <c r="F694">
        <v>0.05017278894150774</v>
      </c>
      <c r="G694">
        <v>-0.03911275185677976</v>
      </c>
      <c r="H694">
        <v>0.04</v>
      </c>
      <c r="I694">
        <v>0.04521798213935191</v>
      </c>
      <c r="J694" t="s">
        <v>774</v>
      </c>
      <c r="K694" t="s">
        <v>486</v>
      </c>
      <c r="L694">
        <v>0.5</v>
      </c>
      <c r="M694">
        <v>3.92</v>
      </c>
      <c r="N694">
        <v>7.84</v>
      </c>
      <c r="O694">
        <v>10</v>
      </c>
      <c r="P694">
        <v>0</v>
      </c>
      <c r="Q694">
        <v>1.076502732240437</v>
      </c>
      <c r="R694" t="s">
        <v>776</v>
      </c>
      <c r="S694" t="s">
        <v>789</v>
      </c>
      <c r="T694">
        <v>32158.051004</v>
      </c>
      <c r="U694" s="2">
        <v>44427</v>
      </c>
      <c r="V694" t="s">
        <v>796</v>
      </c>
    </row>
    <row r="695" spans="1:22">
      <c r="A695" s="1" t="s">
        <v>715</v>
      </c>
      <c r="B695">
        <f>HYPERLINK("https://www.suredividend.com/sure-analysis-SCM/","Stellus Capital Investment Corp")</f>
        <v>0</v>
      </c>
      <c r="C695">
        <v>13.56</v>
      </c>
      <c r="D695">
        <v>11.5</v>
      </c>
      <c r="E695">
        <v>1.179130434782609</v>
      </c>
      <c r="F695">
        <v>0.07964601769911504</v>
      </c>
      <c r="G695">
        <v>-0.03241833505511849</v>
      </c>
      <c r="H695">
        <v>0</v>
      </c>
      <c r="I695">
        <v>0.04502192690761686</v>
      </c>
      <c r="J695" t="s">
        <v>774</v>
      </c>
      <c r="K695" t="s">
        <v>378</v>
      </c>
      <c r="L695">
        <v>1.15</v>
      </c>
      <c r="M695">
        <v>1.08</v>
      </c>
      <c r="N695">
        <v>0.9391304347826088</v>
      </c>
      <c r="O695">
        <v>0</v>
      </c>
      <c r="P695">
        <v>0</v>
      </c>
      <c r="Q695">
        <v>0.738770975701127</v>
      </c>
      <c r="R695" t="s">
        <v>779</v>
      </c>
      <c r="S695" t="s">
        <v>786</v>
      </c>
      <c r="T695">
        <v>262.2816</v>
      </c>
      <c r="U695" s="2">
        <v>44435</v>
      </c>
      <c r="V695" t="s">
        <v>795</v>
      </c>
    </row>
    <row r="696" spans="1:22">
      <c r="A696" s="1" t="s">
        <v>716</v>
      </c>
      <c r="B696">
        <f>HYPERLINK("https://www.suredividend.com/sure-analysis-CIM/","Chimera Investment Corp")</f>
        <v>0</v>
      </c>
      <c r="C696">
        <v>15.39</v>
      </c>
      <c r="D696">
        <v>11</v>
      </c>
      <c r="E696">
        <v>1.399090909090909</v>
      </c>
      <c r="F696">
        <v>0.08382066276803118</v>
      </c>
      <c r="G696">
        <v>-0.06495865835747916</v>
      </c>
      <c r="H696">
        <v>0.02</v>
      </c>
      <c r="I696">
        <v>0.04282406734284971</v>
      </c>
      <c r="J696" t="s">
        <v>774</v>
      </c>
      <c r="K696" t="s">
        <v>378</v>
      </c>
      <c r="L696">
        <v>1.4</v>
      </c>
      <c r="M696">
        <v>1.29</v>
      </c>
      <c r="N696">
        <v>0.9214285714285715</v>
      </c>
      <c r="O696">
        <v>0</v>
      </c>
      <c r="P696">
        <v>0.01938849279650956</v>
      </c>
      <c r="Q696">
        <v>0.9577774369984151</v>
      </c>
      <c r="R696" t="s">
        <v>776</v>
      </c>
      <c r="S696" t="s">
        <v>790</v>
      </c>
      <c r="T696">
        <v>3614.842611</v>
      </c>
      <c r="U696" s="2">
        <v>44439</v>
      </c>
      <c r="V696" t="s">
        <v>796</v>
      </c>
    </row>
    <row r="697" spans="1:22">
      <c r="A697" s="1" t="s">
        <v>717</v>
      </c>
      <c r="B697">
        <f>HYPERLINK("https://www.suredividend.com/sure-analysis-DANOY/","Danone")</f>
        <v>0</v>
      </c>
      <c r="C697">
        <v>13.24</v>
      </c>
      <c r="D697">
        <v>12.6</v>
      </c>
      <c r="E697">
        <v>1.050793650793651</v>
      </c>
      <c r="F697">
        <v>0.03323262839879154</v>
      </c>
      <c r="G697">
        <v>-0.009860213474320978</v>
      </c>
      <c r="H697">
        <v>0.02</v>
      </c>
      <c r="I697">
        <v>0.04193970969495564</v>
      </c>
      <c r="J697" t="s">
        <v>774</v>
      </c>
      <c r="K697" t="s">
        <v>486</v>
      </c>
      <c r="L697">
        <v>0.7</v>
      </c>
      <c r="M697">
        <v>0.44</v>
      </c>
      <c r="N697">
        <v>0.6285714285714287</v>
      </c>
      <c r="O697">
        <v>0</v>
      </c>
      <c r="P697">
        <v>0.02175949146424117</v>
      </c>
      <c r="Q697">
        <v>0.09827449424831401</v>
      </c>
      <c r="R697" t="s">
        <v>776</v>
      </c>
      <c r="S697" t="s">
        <v>785</v>
      </c>
      <c r="T697">
        <v>45693.678</v>
      </c>
      <c r="U697" s="2">
        <v>44411</v>
      </c>
      <c r="V697" t="s">
        <v>802</v>
      </c>
    </row>
    <row r="698" spans="1:22">
      <c r="A698" s="1" t="s">
        <v>718</v>
      </c>
      <c r="B698">
        <f>HYPERLINK("https://www.suredividend.com/sure-analysis-LSI/","Life Storage Inc")</f>
        <v>0</v>
      </c>
      <c r="C698">
        <v>126.31</v>
      </c>
      <c r="D698">
        <v>88</v>
      </c>
      <c r="E698">
        <v>1.435340909090909</v>
      </c>
      <c r="F698">
        <v>0.02723458158498931</v>
      </c>
      <c r="G698">
        <v>-0.06973006072048826</v>
      </c>
      <c r="H698">
        <v>0.09</v>
      </c>
      <c r="I698">
        <v>0.04154225454031368</v>
      </c>
      <c r="J698" t="s">
        <v>774</v>
      </c>
      <c r="K698" t="s">
        <v>486</v>
      </c>
      <c r="L698">
        <v>4.85</v>
      </c>
      <c r="M698">
        <v>3.44</v>
      </c>
      <c r="N698">
        <v>0.709278350515464</v>
      </c>
      <c r="O698">
        <v>3</v>
      </c>
      <c r="P698">
        <v>0.04073022977591667</v>
      </c>
      <c r="Q698">
        <v>0.662106239117161</v>
      </c>
      <c r="R698" t="s">
        <v>778</v>
      </c>
      <c r="S698" t="s">
        <v>790</v>
      </c>
      <c r="T698">
        <v>10247.934561</v>
      </c>
      <c r="U698" s="2">
        <v>44470</v>
      </c>
      <c r="V698" t="s">
        <v>796</v>
      </c>
    </row>
    <row r="699" spans="1:22">
      <c r="A699" s="1" t="s">
        <v>719</v>
      </c>
      <c r="B699">
        <f>HYPERLINK("https://www.suredividend.com/sure-analysis-MAIN/","Main Street Capital Corporation")</f>
        <v>0</v>
      </c>
      <c r="C699">
        <v>43.06</v>
      </c>
      <c r="D699">
        <v>35</v>
      </c>
      <c r="E699">
        <v>1.230285714285714</v>
      </c>
      <c r="F699">
        <v>0.0571295866233163</v>
      </c>
      <c r="G699">
        <v>-0.04060201106836681</v>
      </c>
      <c r="H699">
        <v>0.025</v>
      </c>
      <c r="I699">
        <v>0.03959286832631159</v>
      </c>
      <c r="J699" t="s">
        <v>774</v>
      </c>
      <c r="K699" t="s">
        <v>486</v>
      </c>
      <c r="L699">
        <v>2.33</v>
      </c>
      <c r="M699">
        <v>2.46</v>
      </c>
      <c r="N699">
        <v>1.055793991416309</v>
      </c>
      <c r="O699">
        <v>5</v>
      </c>
      <c r="P699">
        <v>0.01035252555087074</v>
      </c>
      <c r="Q699">
        <v>0.5165431360403271</v>
      </c>
      <c r="R699" t="s">
        <v>779</v>
      </c>
      <c r="S699" t="s">
        <v>786</v>
      </c>
      <c r="T699">
        <v>2922.828856</v>
      </c>
      <c r="U699" s="2">
        <v>44417</v>
      </c>
      <c r="V699" t="s">
        <v>793</v>
      </c>
    </row>
    <row r="700" spans="1:22">
      <c r="A700" s="1" t="s">
        <v>720</v>
      </c>
      <c r="B700">
        <f>HYPERLINK("https://www.suredividend.com/sure-analysis-E/","Eni Spa")</f>
        <v>0</v>
      </c>
      <c r="C700">
        <v>28.39</v>
      </c>
      <c r="D700">
        <v>21</v>
      </c>
      <c r="E700">
        <v>1.351904761904762</v>
      </c>
      <c r="F700">
        <v>0.05635787249031349</v>
      </c>
      <c r="G700">
        <v>-0.05852068986348313</v>
      </c>
      <c r="H700">
        <v>0.04</v>
      </c>
      <c r="I700">
        <v>0.03845636837466482</v>
      </c>
      <c r="J700" t="s">
        <v>774</v>
      </c>
      <c r="K700" t="s">
        <v>378</v>
      </c>
      <c r="L700">
        <v>1.7</v>
      </c>
      <c r="M700">
        <v>1.6</v>
      </c>
      <c r="N700">
        <v>0.9411764705882354</v>
      </c>
      <c r="O700">
        <v>1</v>
      </c>
      <c r="P700">
        <v>0.02946206823925857</v>
      </c>
      <c r="Q700">
        <v>0.9874374325252721</v>
      </c>
      <c r="R700" t="s">
        <v>776</v>
      </c>
      <c r="S700" t="s">
        <v>789</v>
      </c>
      <c r="T700">
        <v>51109.30697</v>
      </c>
      <c r="U700" s="2">
        <v>44432</v>
      </c>
      <c r="V700" t="s">
        <v>796</v>
      </c>
    </row>
    <row r="701" spans="1:22">
      <c r="A701" s="1" t="s">
        <v>721</v>
      </c>
      <c r="B701">
        <f>HYPERLINK("https://www.suredividend.com/sure-analysis-IRM/","Iron Mountain Inc.")</f>
        <v>0</v>
      </c>
      <c r="C701">
        <v>45</v>
      </c>
      <c r="D701">
        <v>37</v>
      </c>
      <c r="E701">
        <v>1.216216216216216</v>
      </c>
      <c r="F701">
        <v>0.05488888888888889</v>
      </c>
      <c r="G701">
        <v>-0.03839249970617231</v>
      </c>
      <c r="H701">
        <v>0.02</v>
      </c>
      <c r="I701">
        <v>0.03555108934122386</v>
      </c>
      <c r="J701" t="s">
        <v>774</v>
      </c>
      <c r="K701" t="s">
        <v>378</v>
      </c>
      <c r="L701">
        <v>3.39</v>
      </c>
      <c r="M701">
        <v>2.47</v>
      </c>
      <c r="N701">
        <v>0.728613569321534</v>
      </c>
      <c r="O701">
        <v>10</v>
      </c>
      <c r="P701">
        <v>0.01031145931793609</v>
      </c>
      <c r="Q701">
        <v>0.7393461174756221</v>
      </c>
      <c r="R701" t="s">
        <v>778</v>
      </c>
      <c r="S701" t="s">
        <v>790</v>
      </c>
      <c r="T701">
        <v>12990.978892</v>
      </c>
      <c r="U701" s="2">
        <v>44433</v>
      </c>
      <c r="V701" t="s">
        <v>794</v>
      </c>
    </row>
    <row r="702" spans="1:22">
      <c r="A702" s="1" t="s">
        <v>722</v>
      </c>
      <c r="B702">
        <f>HYPERLINK("https://www.suredividend.com/sure-analysis-HTGC/","Hercules Capital Inc")</f>
        <v>0</v>
      </c>
      <c r="C702">
        <v>17.37</v>
      </c>
      <c r="D702">
        <v>13.4</v>
      </c>
      <c r="E702">
        <v>1.296268656716418</v>
      </c>
      <c r="F702">
        <v>0.07369027058146228</v>
      </c>
      <c r="G702">
        <v>-0.05057427261493674</v>
      </c>
      <c r="H702">
        <v>0.005</v>
      </c>
      <c r="I702">
        <v>0.03509809377032447</v>
      </c>
      <c r="J702" t="s">
        <v>774</v>
      </c>
      <c r="K702" t="s">
        <v>378</v>
      </c>
      <c r="L702">
        <v>1.3</v>
      </c>
      <c r="M702">
        <v>1.28</v>
      </c>
      <c r="N702">
        <v>0.9846153846153846</v>
      </c>
      <c r="O702">
        <v>0</v>
      </c>
      <c r="P702">
        <v>0.02525431673210399</v>
      </c>
      <c r="Q702">
        <v>0.563595190596861</v>
      </c>
      <c r="R702" t="s">
        <v>779</v>
      </c>
      <c r="S702" t="s">
        <v>786</v>
      </c>
      <c r="T702">
        <v>2015.617601</v>
      </c>
      <c r="U702" s="2">
        <v>44420</v>
      </c>
      <c r="V702" t="s">
        <v>800</v>
      </c>
    </row>
    <row r="703" spans="1:22">
      <c r="A703" s="1" t="s">
        <v>723</v>
      </c>
      <c r="B703">
        <f>HYPERLINK("https://www.suredividend.com/sure-analysis-ACC/","American Campus Communities Inc.")</f>
        <v>0</v>
      </c>
      <c r="C703">
        <v>51.43</v>
      </c>
      <c r="D703">
        <v>38</v>
      </c>
      <c r="E703">
        <v>1.353421052631579</v>
      </c>
      <c r="F703">
        <v>0.03655454015166245</v>
      </c>
      <c r="G703">
        <v>-0.05873173970846801</v>
      </c>
      <c r="H703">
        <v>0.06</v>
      </c>
      <c r="I703">
        <v>0.03468594658393065</v>
      </c>
      <c r="J703" t="s">
        <v>774</v>
      </c>
      <c r="K703" t="s">
        <v>486</v>
      </c>
      <c r="L703">
        <v>2.02</v>
      </c>
      <c r="M703">
        <v>1.88</v>
      </c>
      <c r="N703">
        <v>0.9306930693069306</v>
      </c>
      <c r="O703">
        <v>8</v>
      </c>
      <c r="P703">
        <v>0.02528440313403202</v>
      </c>
      <c r="Q703">
        <v>0.479579113914979</v>
      </c>
      <c r="R703" t="s">
        <v>778</v>
      </c>
      <c r="S703" t="s">
        <v>790</v>
      </c>
      <c r="T703">
        <v>7180.6957</v>
      </c>
      <c r="U703" s="2">
        <v>44404</v>
      </c>
      <c r="V703" t="s">
        <v>791</v>
      </c>
    </row>
    <row r="704" spans="1:22">
      <c r="A704" s="1" t="s">
        <v>724</v>
      </c>
      <c r="B704">
        <f>HYPERLINK("https://www.suredividend.com/sure-analysis-BCE/","BCE Inc")</f>
        <v>0</v>
      </c>
      <c r="C704">
        <v>51.12</v>
      </c>
      <c r="D704">
        <v>40</v>
      </c>
      <c r="E704">
        <v>1.278</v>
      </c>
      <c r="F704">
        <v>0.0545774647887324</v>
      </c>
      <c r="G704">
        <v>-0.04787530553865704</v>
      </c>
      <c r="H704">
        <v>0.03</v>
      </c>
      <c r="I704">
        <v>0.0343710379944</v>
      </c>
      <c r="J704" t="s">
        <v>774</v>
      </c>
      <c r="K704" t="s">
        <v>486</v>
      </c>
      <c r="L704">
        <v>2.55</v>
      </c>
      <c r="M704">
        <v>2.79</v>
      </c>
      <c r="N704">
        <v>1.094117647058824</v>
      </c>
      <c r="O704">
        <v>12</v>
      </c>
      <c r="P704">
        <v>0.004968307109833203</v>
      </c>
      <c r="Q704">
        <v>0.276727918794339</v>
      </c>
      <c r="R704" t="s">
        <v>776</v>
      </c>
      <c r="S704" t="s">
        <v>780</v>
      </c>
      <c r="T704">
        <v>46690.214201</v>
      </c>
      <c r="U704" s="2">
        <v>44425</v>
      </c>
      <c r="V704" t="s">
        <v>801</v>
      </c>
    </row>
    <row r="705" spans="1:22">
      <c r="A705" s="1" t="s">
        <v>725</v>
      </c>
      <c r="B705">
        <f>HYPERLINK("https://www.suredividend.com/sure-analysis-PSEC/","Prospect Capital Corp")</f>
        <v>0</v>
      </c>
      <c r="C705">
        <v>8.25</v>
      </c>
      <c r="D705">
        <v>6.1</v>
      </c>
      <c r="E705">
        <v>1.352459016393443</v>
      </c>
      <c r="F705">
        <v>0.08727272727272727</v>
      </c>
      <c r="G705">
        <v>-0.05859786849700011</v>
      </c>
      <c r="H705">
        <v>0</v>
      </c>
      <c r="I705">
        <v>0.03291255704379559</v>
      </c>
      <c r="J705" t="s">
        <v>774</v>
      </c>
      <c r="K705" t="s">
        <v>378</v>
      </c>
      <c r="L705">
        <v>0.72</v>
      </c>
      <c r="M705">
        <v>0.72</v>
      </c>
      <c r="N705">
        <v>1</v>
      </c>
      <c r="O705">
        <v>0</v>
      </c>
      <c r="P705">
        <v>0</v>
      </c>
      <c r="Q705">
        <v>0.7366197482113661</v>
      </c>
      <c r="R705" t="s">
        <v>779</v>
      </c>
      <c r="S705" t="s">
        <v>786</v>
      </c>
      <c r="T705">
        <v>3183.046844</v>
      </c>
      <c r="U705" s="2">
        <v>44444</v>
      </c>
      <c r="V705" t="s">
        <v>795</v>
      </c>
    </row>
    <row r="706" spans="1:22">
      <c r="A706" s="1" t="s">
        <v>726</v>
      </c>
      <c r="B706">
        <f>HYPERLINK("https://www.suredividend.com/sure-analysis-AM/","Antero Midstream Corp")</f>
        <v>0</v>
      </c>
      <c r="C706">
        <v>11.35</v>
      </c>
      <c r="D706">
        <v>9.5</v>
      </c>
      <c r="E706">
        <v>1.194736842105263</v>
      </c>
      <c r="F706">
        <v>0.07929515418502203</v>
      </c>
      <c r="G706">
        <v>-0.03495948017061701</v>
      </c>
      <c r="H706">
        <v>-0.015</v>
      </c>
      <c r="I706">
        <v>0.03235013761980432</v>
      </c>
      <c r="J706" t="s">
        <v>774</v>
      </c>
      <c r="K706" t="s">
        <v>773</v>
      </c>
      <c r="L706">
        <v>1.35</v>
      </c>
      <c r="M706">
        <v>0.9</v>
      </c>
      <c r="N706">
        <v>0.6666666666666666</v>
      </c>
      <c r="O706">
        <v>0</v>
      </c>
      <c r="P706">
        <v>0</v>
      </c>
      <c r="Q706">
        <v>1.018782682935505</v>
      </c>
      <c r="R706" t="s">
        <v>776</v>
      </c>
      <c r="S706" t="s">
        <v>789</v>
      </c>
      <c r="T706">
        <v>5419.167992</v>
      </c>
      <c r="U706" s="2">
        <v>44411</v>
      </c>
      <c r="V706" t="s">
        <v>800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31.9</v>
      </c>
      <c r="D707">
        <v>24</v>
      </c>
      <c r="E707">
        <v>1.329166666666667</v>
      </c>
      <c r="F707">
        <v>0.05642633228840126</v>
      </c>
      <c r="G707">
        <v>-0.05532132511623999</v>
      </c>
      <c r="H707">
        <v>0.03</v>
      </c>
      <c r="I707">
        <v>0.03061190211766207</v>
      </c>
      <c r="J707" t="s">
        <v>774</v>
      </c>
      <c r="K707" t="s">
        <v>378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1.087588077304456</v>
      </c>
      <c r="R707" t="s">
        <v>778</v>
      </c>
      <c r="S707" t="s">
        <v>790</v>
      </c>
      <c r="T707">
        <v>662.38372</v>
      </c>
      <c r="U707" s="2">
        <v>44430</v>
      </c>
      <c r="V707" t="s">
        <v>793</v>
      </c>
    </row>
    <row r="708" spans="1:22">
      <c r="A708" s="1" t="s">
        <v>728</v>
      </c>
      <c r="B708">
        <f>HYPERLINK("https://www.suredividend.com/sure-analysis-BXMT/","Blackstone Mortgage Trust Inc")</f>
        <v>0</v>
      </c>
      <c r="C708">
        <v>32.35</v>
      </c>
      <c r="D708">
        <v>24</v>
      </c>
      <c r="E708">
        <v>1.347916666666667</v>
      </c>
      <c r="F708">
        <v>0.07666151468315301</v>
      </c>
      <c r="G708">
        <v>-0.0579642350796794</v>
      </c>
      <c r="H708">
        <v>0.007</v>
      </c>
      <c r="I708">
        <v>0.02861936190317893</v>
      </c>
      <c r="J708" t="s">
        <v>774</v>
      </c>
      <c r="K708" t="s">
        <v>378</v>
      </c>
      <c r="L708">
        <v>2.4</v>
      </c>
      <c r="M708">
        <v>2.48</v>
      </c>
      <c r="N708">
        <v>1.033333333333333</v>
      </c>
      <c r="O708">
        <v>0</v>
      </c>
      <c r="P708">
        <v>0</v>
      </c>
      <c r="Q708">
        <v>0.5139397246869081</v>
      </c>
      <c r="R708" t="s">
        <v>778</v>
      </c>
      <c r="S708" t="s">
        <v>790</v>
      </c>
      <c r="T708">
        <v>4730.978001</v>
      </c>
      <c r="U708" s="2">
        <v>44421</v>
      </c>
      <c r="V708" t="s">
        <v>800</v>
      </c>
    </row>
    <row r="709" spans="1:22">
      <c r="A709" s="1" t="s">
        <v>729</v>
      </c>
      <c r="B709">
        <f>HYPERLINK("https://www.suredividend.com/sure-analysis-PBA/","Pembina Pipeline Corporation")</f>
        <v>0</v>
      </c>
      <c r="C709">
        <v>34.02</v>
      </c>
      <c r="D709">
        <v>24</v>
      </c>
      <c r="E709">
        <v>1.4175</v>
      </c>
      <c r="F709">
        <v>0.0582010582010582</v>
      </c>
      <c r="G709">
        <v>-0.06740005289337503</v>
      </c>
      <c r="H709">
        <v>0.04</v>
      </c>
      <c r="I709">
        <v>0.02853899964817752</v>
      </c>
      <c r="J709" t="s">
        <v>774</v>
      </c>
      <c r="K709" t="s">
        <v>378</v>
      </c>
      <c r="L709">
        <v>2</v>
      </c>
      <c r="M709">
        <v>1.98</v>
      </c>
      <c r="N709">
        <v>0.99</v>
      </c>
      <c r="O709">
        <v>5</v>
      </c>
      <c r="P709">
        <v>0.002012088709965276</v>
      </c>
      <c r="Q709">
        <v>0.701058711250228</v>
      </c>
      <c r="R709" t="s">
        <v>776</v>
      </c>
      <c r="S709" t="s">
        <v>789</v>
      </c>
      <c r="T709">
        <v>18922.70587</v>
      </c>
      <c r="U709" s="2">
        <v>44442</v>
      </c>
      <c r="V709" t="s">
        <v>796</v>
      </c>
    </row>
    <row r="710" spans="1:22">
      <c r="A710" s="1" t="s">
        <v>730</v>
      </c>
      <c r="B710">
        <f>HYPERLINK("https://www.suredividend.com/sure-analysis-EQR/","Equity Residential Properties Trust")</f>
        <v>0</v>
      </c>
      <c r="C710">
        <v>84.81</v>
      </c>
      <c r="D710">
        <v>65</v>
      </c>
      <c r="E710">
        <v>1.304769230769231</v>
      </c>
      <c r="F710">
        <v>0.02853437094682231</v>
      </c>
      <c r="G710">
        <v>-0.05181461125257791</v>
      </c>
      <c r="H710">
        <v>0.048</v>
      </c>
      <c r="I710">
        <v>0.02501429637127606</v>
      </c>
      <c r="J710" t="s">
        <v>774</v>
      </c>
      <c r="K710" t="s">
        <v>774</v>
      </c>
      <c r="L710">
        <v>2.95</v>
      </c>
      <c r="M710">
        <v>2.42</v>
      </c>
      <c r="N710">
        <v>0.8203389830508474</v>
      </c>
      <c r="O710">
        <v>1</v>
      </c>
      <c r="P710">
        <v>0.04390548076893097</v>
      </c>
      <c r="Q710">
        <v>0.687159396468495</v>
      </c>
      <c r="R710" t="s">
        <v>778</v>
      </c>
      <c r="S710" t="s">
        <v>790</v>
      </c>
      <c r="T710">
        <v>31671.601563</v>
      </c>
      <c r="U710" s="2">
        <v>44411</v>
      </c>
      <c r="V710" t="s">
        <v>800</v>
      </c>
    </row>
    <row r="711" spans="1:22">
      <c r="A711" s="1" t="s">
        <v>731</v>
      </c>
      <c r="B711">
        <f>HYPERLINK("https://www.suredividend.com/sure-analysis-LADR/","Ladder Capital Corp")</f>
        <v>0</v>
      </c>
      <c r="C711">
        <v>11.94</v>
      </c>
      <c r="D711">
        <v>8.5</v>
      </c>
      <c r="E711">
        <v>1.404705882352941</v>
      </c>
      <c r="F711">
        <v>0.06700167504187605</v>
      </c>
      <c r="G711">
        <v>-0.0657073769331129</v>
      </c>
      <c r="H711">
        <v>0.02</v>
      </c>
      <c r="I711">
        <v>0.02492247645531021</v>
      </c>
      <c r="J711" t="s">
        <v>774</v>
      </c>
      <c r="K711" t="s">
        <v>486</v>
      </c>
      <c r="L711">
        <v>0.4</v>
      </c>
      <c r="M711">
        <v>0.8</v>
      </c>
      <c r="N711">
        <v>2</v>
      </c>
      <c r="O711">
        <v>0</v>
      </c>
      <c r="P711">
        <v>0.009805797673485328</v>
      </c>
      <c r="Q711">
        <v>0.8082719785597061</v>
      </c>
      <c r="R711" t="s">
        <v>778</v>
      </c>
      <c r="S711" t="s">
        <v>790</v>
      </c>
      <c r="T711">
        <v>1516.128504</v>
      </c>
      <c r="U711" s="2">
        <v>44418</v>
      </c>
      <c r="V711" t="s">
        <v>793</v>
      </c>
    </row>
    <row r="712" spans="1:22">
      <c r="A712" s="1" t="s">
        <v>732</v>
      </c>
      <c r="B712">
        <f>HYPERLINK("https://www.suredividend.com/sure-analysis-SUNS/","SLR Senior Investment Corp")</f>
        <v>0</v>
      </c>
      <c r="C712">
        <v>16.09</v>
      </c>
      <c r="D712">
        <v>11</v>
      </c>
      <c r="E712">
        <v>1.462727272727273</v>
      </c>
      <c r="F712">
        <v>0.07458048477315102</v>
      </c>
      <c r="G712">
        <v>-0.07323989900930772</v>
      </c>
      <c r="H712">
        <v>0.02</v>
      </c>
      <c r="I712">
        <v>0.02432943693463141</v>
      </c>
      <c r="J712" t="s">
        <v>774</v>
      </c>
      <c r="K712" t="s">
        <v>378</v>
      </c>
      <c r="L712">
        <v>1.1</v>
      </c>
      <c r="M712">
        <v>1.2</v>
      </c>
      <c r="N712">
        <v>1.090909090909091</v>
      </c>
      <c r="O712">
        <v>0</v>
      </c>
      <c r="P712">
        <v>0</v>
      </c>
      <c r="Q712">
        <v>0.292196653396769</v>
      </c>
      <c r="R712" t="s">
        <v>779</v>
      </c>
      <c r="S712" t="s">
        <v>786</v>
      </c>
      <c r="T712">
        <v>256.303073</v>
      </c>
      <c r="U712" s="2">
        <v>44418</v>
      </c>
      <c r="V712" t="s">
        <v>791</v>
      </c>
    </row>
    <row r="713" spans="1:22">
      <c r="A713" s="1" t="s">
        <v>733</v>
      </c>
      <c r="B713">
        <f>HYPERLINK("https://www.suredividend.com/sure-analysis-SBR/","Sabine Royalty Trust")</f>
        <v>0</v>
      </c>
      <c r="C713">
        <v>43.31</v>
      </c>
      <c r="D713">
        <v>30</v>
      </c>
      <c r="E713">
        <v>1.443666666666667</v>
      </c>
      <c r="F713">
        <v>0.0681135996305703</v>
      </c>
      <c r="G713">
        <v>-0.07080553488131724</v>
      </c>
      <c r="H713">
        <v>0.02</v>
      </c>
      <c r="I713">
        <v>0.02411467834398362</v>
      </c>
      <c r="J713" t="s">
        <v>774</v>
      </c>
      <c r="K713" t="s">
        <v>378</v>
      </c>
      <c r="L713">
        <v>2.95</v>
      </c>
      <c r="M713">
        <v>2.95</v>
      </c>
      <c r="N713">
        <v>1</v>
      </c>
      <c r="O713">
        <v>0</v>
      </c>
      <c r="P713">
        <v>0.02018543011640217</v>
      </c>
      <c r="Q713">
        <v>0.6223963095802371</v>
      </c>
      <c r="R713" t="s">
        <v>776</v>
      </c>
      <c r="S713" t="s">
        <v>789</v>
      </c>
      <c r="T713">
        <v>633.764127</v>
      </c>
      <c r="U713" s="2">
        <v>44438</v>
      </c>
      <c r="V713" t="s">
        <v>796</v>
      </c>
    </row>
    <row r="714" spans="1:22">
      <c r="A714" s="1" t="s">
        <v>734</v>
      </c>
      <c r="B714">
        <f>HYPERLINK("https://www.suredividend.com/sure-analysis-UDR/","UDR Inc")</f>
        <v>0</v>
      </c>
      <c r="C714">
        <v>54.39</v>
      </c>
      <c r="D714">
        <v>40</v>
      </c>
      <c r="E714">
        <v>1.35975</v>
      </c>
      <c r="F714">
        <v>0.02665931237359809</v>
      </c>
      <c r="G714">
        <v>-0.05960960100989432</v>
      </c>
      <c r="H714">
        <v>0.055</v>
      </c>
      <c r="I714">
        <v>0.02215991103796533</v>
      </c>
      <c r="J714" t="s">
        <v>774</v>
      </c>
      <c r="K714" t="s">
        <v>774</v>
      </c>
      <c r="L714">
        <v>1.81</v>
      </c>
      <c r="M714">
        <v>1.45</v>
      </c>
      <c r="N714">
        <v>0.8011049723756906</v>
      </c>
      <c r="O714">
        <v>11</v>
      </c>
      <c r="P714">
        <v>0.0499309672496191</v>
      </c>
      <c r="Q714">
        <v>0.686573697704959</v>
      </c>
      <c r="R714" t="s">
        <v>778</v>
      </c>
      <c r="S714" t="s">
        <v>790</v>
      </c>
      <c r="T714">
        <v>16011.920222</v>
      </c>
      <c r="U714" s="2">
        <v>44406</v>
      </c>
      <c r="V714" t="s">
        <v>793</v>
      </c>
    </row>
    <row r="715" spans="1:22">
      <c r="A715" s="1" t="s">
        <v>735</v>
      </c>
      <c r="B715">
        <f>HYPERLINK("https://www.suredividend.com/sure-analysis-MNR/","Monmouth Real Estate Investment Corp.")</f>
        <v>0</v>
      </c>
      <c r="C715">
        <v>19.11</v>
      </c>
      <c r="D715">
        <v>15</v>
      </c>
      <c r="E715">
        <v>1.274</v>
      </c>
      <c r="F715">
        <v>0.03767660910518053</v>
      </c>
      <c r="G715">
        <v>-0.04727817449869753</v>
      </c>
      <c r="H715">
        <v>0.03</v>
      </c>
      <c r="I715">
        <v>0.02094124554957033</v>
      </c>
      <c r="J715" t="s">
        <v>774</v>
      </c>
      <c r="K715" t="s">
        <v>486</v>
      </c>
      <c r="L715">
        <v>0.75</v>
      </c>
      <c r="M715">
        <v>0.72</v>
      </c>
      <c r="N715">
        <v>0.96</v>
      </c>
      <c r="O715">
        <v>1</v>
      </c>
      <c r="P715">
        <v>0.01872958559274807</v>
      </c>
      <c r="Q715">
        <v>0.402786527389132</v>
      </c>
      <c r="R715" t="s">
        <v>778</v>
      </c>
      <c r="S715" t="s">
        <v>790</v>
      </c>
      <c r="T715">
        <v>1882.487264</v>
      </c>
      <c r="U715" s="2">
        <v>44426</v>
      </c>
      <c r="V715" t="s">
        <v>791</v>
      </c>
    </row>
    <row r="716" spans="1:22">
      <c r="A716" s="1" t="s">
        <v>736</v>
      </c>
      <c r="B716">
        <f>HYPERLINK("https://www.suredividend.com/sure-analysis-SJR/","Shaw Communications Inc.")</f>
        <v>0</v>
      </c>
      <c r="C716">
        <v>29.24</v>
      </c>
      <c r="D716">
        <v>22</v>
      </c>
      <c r="E716">
        <v>1.329090909090909</v>
      </c>
      <c r="F716">
        <v>0.03214774281805746</v>
      </c>
      <c r="G716">
        <v>-0.05531055611102886</v>
      </c>
      <c r="H716">
        <v>0.045</v>
      </c>
      <c r="I716">
        <v>0.02007073217838529</v>
      </c>
      <c r="J716" t="s">
        <v>774</v>
      </c>
      <c r="K716" t="s">
        <v>486</v>
      </c>
      <c r="L716">
        <v>1.3</v>
      </c>
      <c r="M716">
        <v>0.9399999999999999</v>
      </c>
      <c r="N716">
        <v>0.7230769230769231</v>
      </c>
      <c r="O716">
        <v>0</v>
      </c>
      <c r="P716">
        <v>0.01245196889366262</v>
      </c>
      <c r="Q716">
        <v>0.74516125194799</v>
      </c>
      <c r="R716" t="s">
        <v>776</v>
      </c>
      <c r="S716" t="s">
        <v>780</v>
      </c>
      <c r="T716">
        <v>13980.331495</v>
      </c>
      <c r="U716" s="2">
        <v>44396</v>
      </c>
      <c r="V716" t="s">
        <v>793</v>
      </c>
    </row>
    <row r="717" spans="1:22">
      <c r="A717" s="1" t="s">
        <v>737</v>
      </c>
      <c r="B717">
        <f>HYPERLINK("https://www.suredividend.com/sure-analysis-PRT/","PermRock Royalty Trust")</f>
        <v>0</v>
      </c>
      <c r="C717">
        <v>7.01</v>
      </c>
      <c r="D717">
        <v>3.75</v>
      </c>
      <c r="E717">
        <v>1.869333333333333</v>
      </c>
      <c r="F717">
        <v>0.07132667617689016</v>
      </c>
      <c r="G717">
        <v>-0.1176057895574074</v>
      </c>
      <c r="H717">
        <v>0.05</v>
      </c>
      <c r="I717">
        <v>0.01874861765616909</v>
      </c>
      <c r="J717" t="s">
        <v>774</v>
      </c>
      <c r="K717" t="s">
        <v>378</v>
      </c>
      <c r="L717">
        <v>0.5</v>
      </c>
      <c r="M717">
        <v>0.5</v>
      </c>
      <c r="N717">
        <v>1</v>
      </c>
      <c r="O717">
        <v>0</v>
      </c>
      <c r="P717">
        <v>0.05061112176150684</v>
      </c>
      <c r="Q717">
        <v>2.733591564450183</v>
      </c>
      <c r="R717" t="s">
        <v>776</v>
      </c>
      <c r="S717" t="s">
        <v>789</v>
      </c>
      <c r="T717">
        <v>84.43017999999999</v>
      </c>
      <c r="U717" s="2">
        <v>44439</v>
      </c>
      <c r="V717" t="s">
        <v>793</v>
      </c>
    </row>
    <row r="718" spans="1:22">
      <c r="A718" s="1" t="s">
        <v>738</v>
      </c>
      <c r="B718">
        <f>HYPERLINK("https://www.suredividend.com/sure-analysis-STAG/","STAG Industrial Inc")</f>
        <v>0</v>
      </c>
      <c r="C718">
        <v>43.14</v>
      </c>
      <c r="D718">
        <v>31</v>
      </c>
      <c r="E718">
        <v>1.391612903225806</v>
      </c>
      <c r="F718">
        <v>0.03361149745016226</v>
      </c>
      <c r="G718">
        <v>-0.06395589912512478</v>
      </c>
      <c r="H718">
        <v>0.05</v>
      </c>
      <c r="I718">
        <v>0.01713144517958587</v>
      </c>
      <c r="J718" t="s">
        <v>774</v>
      </c>
      <c r="K718" t="s">
        <v>486</v>
      </c>
      <c r="L718">
        <v>2.04</v>
      </c>
      <c r="M718">
        <v>1.45</v>
      </c>
      <c r="N718">
        <v>0.7107843137254901</v>
      </c>
      <c r="O718">
        <v>10</v>
      </c>
      <c r="P718">
        <v>0.006803348678863008</v>
      </c>
      <c r="Q718">
        <v>0.359553135179153</v>
      </c>
      <c r="R718" t="s">
        <v>778</v>
      </c>
      <c r="S718" t="s">
        <v>790</v>
      </c>
      <c r="T718">
        <v>6925.52455</v>
      </c>
      <c r="U718" s="2">
        <v>44428</v>
      </c>
      <c r="V718" t="s">
        <v>796</v>
      </c>
    </row>
    <row r="719" spans="1:22">
      <c r="A719" s="1" t="s">
        <v>739</v>
      </c>
      <c r="B719">
        <f>HYPERLINK("https://www.suredividend.com/sure-analysis-PEAK/","Healthpeak Properties Inc")</f>
        <v>0</v>
      </c>
      <c r="C719">
        <v>34.61</v>
      </c>
      <c r="D719">
        <v>24</v>
      </c>
      <c r="E719">
        <v>1.442083333333333</v>
      </c>
      <c r="F719">
        <v>0.03467206009823751</v>
      </c>
      <c r="G719">
        <v>-0.07060158288637508</v>
      </c>
      <c r="H719">
        <v>0.05</v>
      </c>
      <c r="I719">
        <v>0.01463839203976969</v>
      </c>
      <c r="J719" t="s">
        <v>774</v>
      </c>
      <c r="K719" t="s">
        <v>486</v>
      </c>
      <c r="L719">
        <v>1.58</v>
      </c>
      <c r="M719">
        <v>1.2</v>
      </c>
      <c r="N719">
        <v>0.7594936708860759</v>
      </c>
      <c r="O719">
        <v>0</v>
      </c>
      <c r="P719">
        <v>0.03131030647754507</v>
      </c>
      <c r="Q719">
        <v>0.3335848562661931</v>
      </c>
      <c r="R719" t="s">
        <v>778</v>
      </c>
      <c r="S719" t="s">
        <v>790</v>
      </c>
      <c r="T719">
        <v>18669.864406</v>
      </c>
      <c r="U719" s="2">
        <v>44434</v>
      </c>
      <c r="V719" t="s">
        <v>796</v>
      </c>
    </row>
    <row r="720" spans="1:22">
      <c r="A720" s="1" t="s">
        <v>740</v>
      </c>
      <c r="B720">
        <f>HYPERLINK("https://www.suredividend.com/sure-analysis-GAIN/","Gladstone Investment Corporation")</f>
        <v>0</v>
      </c>
      <c r="C720">
        <v>14.91</v>
      </c>
      <c r="D720">
        <v>10</v>
      </c>
      <c r="E720">
        <v>1.491</v>
      </c>
      <c r="F720">
        <v>0.05633802816901408</v>
      </c>
      <c r="G720">
        <v>-0.07678155790633145</v>
      </c>
      <c r="H720">
        <v>0.03</v>
      </c>
      <c r="I720">
        <v>0.01309321312957024</v>
      </c>
      <c r="J720" t="s">
        <v>774</v>
      </c>
      <c r="K720" t="s">
        <v>486</v>
      </c>
      <c r="L720">
        <v>0.8</v>
      </c>
      <c r="M720">
        <v>0.84</v>
      </c>
      <c r="N720">
        <v>1.05</v>
      </c>
      <c r="O720">
        <v>9</v>
      </c>
      <c r="P720">
        <v>0.009347419909568888</v>
      </c>
      <c r="Q720">
        <v>0.7521499868975861</v>
      </c>
      <c r="R720" t="s">
        <v>779</v>
      </c>
      <c r="S720" t="s">
        <v>786</v>
      </c>
      <c r="T720">
        <v>488.445888</v>
      </c>
      <c r="U720" s="2">
        <v>44433</v>
      </c>
      <c r="V720" t="s">
        <v>794</v>
      </c>
    </row>
    <row r="721" spans="1:22">
      <c r="A721" s="1" t="s">
        <v>741</v>
      </c>
      <c r="B721">
        <f>HYPERLINK("https://www.suredividend.com/sure-analysis-DRETF/","Dream Office Real Estate Investment Trust")</f>
        <v>0</v>
      </c>
      <c r="C721">
        <v>19.155</v>
      </c>
      <c r="D721">
        <v>11</v>
      </c>
      <c r="E721">
        <v>1.741363636363636</v>
      </c>
      <c r="F721">
        <v>0.04333072304881232</v>
      </c>
      <c r="G721">
        <v>-0.1050019156233422</v>
      </c>
      <c r="H721">
        <v>0.075</v>
      </c>
      <c r="I721">
        <v>0.007168537274731435</v>
      </c>
      <c r="J721" t="s">
        <v>774</v>
      </c>
      <c r="K721" t="s">
        <v>378</v>
      </c>
      <c r="L721">
        <v>1.22</v>
      </c>
      <c r="M721">
        <v>0.83</v>
      </c>
      <c r="N721">
        <v>0.680327868852459</v>
      </c>
      <c r="O721">
        <v>0</v>
      </c>
      <c r="P721">
        <v>-0.00733575565369482</v>
      </c>
      <c r="Q721">
        <v>0.4211497057029691</v>
      </c>
      <c r="R721" t="s">
        <v>776</v>
      </c>
      <c r="S721" t="s">
        <v>786</v>
      </c>
      <c r="T721">
        <v>975.592955</v>
      </c>
      <c r="U721" s="2">
        <v>44421</v>
      </c>
      <c r="V721" t="s">
        <v>800</v>
      </c>
    </row>
    <row r="722" spans="1:22">
      <c r="A722" s="1" t="s">
        <v>742</v>
      </c>
      <c r="B722">
        <f>HYPERLINK("https://www.suredividend.com/sure-analysis-GLAD/","Gladstone Capital Corp.")</f>
        <v>0</v>
      </c>
      <c r="C722">
        <v>11.63</v>
      </c>
      <c r="D722">
        <v>8</v>
      </c>
      <c r="E722">
        <v>1.45375</v>
      </c>
      <c r="F722">
        <v>0.06706792777300086</v>
      </c>
      <c r="G722">
        <v>-0.07209812039481123</v>
      </c>
      <c r="H722">
        <v>0</v>
      </c>
      <c r="I722">
        <v>0.004600637301941379</v>
      </c>
      <c r="J722" t="s">
        <v>774</v>
      </c>
      <c r="K722" t="s">
        <v>378</v>
      </c>
      <c r="L722">
        <v>0.8</v>
      </c>
      <c r="M722">
        <v>0.78</v>
      </c>
      <c r="N722">
        <v>0.975</v>
      </c>
      <c r="O722">
        <v>0</v>
      </c>
      <c r="P722">
        <v>0</v>
      </c>
      <c r="Q722">
        <v>0.594698290896407</v>
      </c>
      <c r="R722" t="s">
        <v>776</v>
      </c>
      <c r="S722" t="s">
        <v>786</v>
      </c>
      <c r="T722">
        <v>392.098961</v>
      </c>
      <c r="U722" s="2">
        <v>44424</v>
      </c>
      <c r="V722" t="s">
        <v>795</v>
      </c>
    </row>
    <row r="723" spans="1:22">
      <c r="A723" s="1" t="s">
        <v>743</v>
      </c>
      <c r="B723">
        <f>HYPERLINK("https://www.suredividend.com/sure-analysis-BKR/","Baker Hughes Co")</f>
        <v>0</v>
      </c>
      <c r="C723">
        <v>26.96</v>
      </c>
      <c r="D723">
        <v>13</v>
      </c>
      <c r="E723">
        <v>2.073846153846154</v>
      </c>
      <c r="F723">
        <v>0.02670623145400593</v>
      </c>
      <c r="G723">
        <v>-0.1357394435851134</v>
      </c>
      <c r="H723">
        <v>0.13</v>
      </c>
      <c r="I723">
        <v>0.004351119741359044</v>
      </c>
      <c r="J723" t="s">
        <v>774</v>
      </c>
      <c r="K723" t="s">
        <v>774</v>
      </c>
      <c r="L723">
        <v>0.75</v>
      </c>
      <c r="M723">
        <v>0.72</v>
      </c>
      <c r="N723">
        <v>0.96</v>
      </c>
      <c r="O723">
        <v>0</v>
      </c>
      <c r="P723">
        <v>0</v>
      </c>
      <c r="Q723">
        <v>1.119943552265398</v>
      </c>
      <c r="R723" t="s">
        <v>776</v>
      </c>
      <c r="S723" t="s">
        <v>789</v>
      </c>
      <c r="T723">
        <v>27837.6036</v>
      </c>
      <c r="U723" s="2">
        <v>44398</v>
      </c>
      <c r="V723" t="s">
        <v>796</v>
      </c>
    </row>
    <row r="724" spans="1:22">
      <c r="A724" s="1" t="s">
        <v>744</v>
      </c>
      <c r="B724">
        <f>HYPERLINK("https://www.suredividend.com/sure-analysis-UBA/","Urstadt Biddle Properties, Inc.")</f>
        <v>0</v>
      </c>
      <c r="C724">
        <v>20.08</v>
      </c>
      <c r="D724">
        <v>14</v>
      </c>
      <c r="E724">
        <v>1.434285714285714</v>
      </c>
      <c r="F724">
        <v>0.04581673306772909</v>
      </c>
      <c r="G724">
        <v>-0.06959322225691211</v>
      </c>
      <c r="H724">
        <v>0.018</v>
      </c>
      <c r="I724">
        <v>0.003494664052604124</v>
      </c>
      <c r="J724" t="s">
        <v>774</v>
      </c>
      <c r="K724" t="s">
        <v>378</v>
      </c>
      <c r="L724">
        <v>1.37</v>
      </c>
      <c r="M724">
        <v>0.92</v>
      </c>
      <c r="N724">
        <v>0.6715328467153284</v>
      </c>
      <c r="O724">
        <v>0</v>
      </c>
      <c r="P724">
        <v>0.03638464900130689</v>
      </c>
      <c r="Q724">
        <v>1.160682343702281</v>
      </c>
      <c r="R724" t="s">
        <v>778</v>
      </c>
      <c r="S724" t="s">
        <v>790</v>
      </c>
      <c r="T724">
        <v>779.541362</v>
      </c>
      <c r="U724" s="2">
        <v>44452</v>
      </c>
      <c r="V724" t="s">
        <v>800</v>
      </c>
    </row>
    <row r="725" spans="1:22">
      <c r="A725" s="1" t="s">
        <v>745</v>
      </c>
      <c r="B725">
        <f>HYPERLINK("https://www.suredividend.com/sure-analysis-CODI/","Compass Diversified Holdings")</f>
        <v>0</v>
      </c>
      <c r="C725">
        <v>29.86</v>
      </c>
      <c r="D725">
        <v>18</v>
      </c>
      <c r="E725">
        <v>1.658888888888889</v>
      </c>
      <c r="F725">
        <v>0.04822505023442732</v>
      </c>
      <c r="G725">
        <v>-0.09627449249854259</v>
      </c>
      <c r="H725">
        <v>0.04</v>
      </c>
      <c r="I725">
        <v>-0.005144746614014317</v>
      </c>
      <c r="J725" t="s">
        <v>774</v>
      </c>
      <c r="K725" t="s">
        <v>486</v>
      </c>
      <c r="L725">
        <v>1.75</v>
      </c>
      <c r="M725">
        <v>1.44</v>
      </c>
      <c r="N725">
        <v>0.8228571428571428</v>
      </c>
      <c r="O725">
        <v>0</v>
      </c>
      <c r="P725">
        <v>0</v>
      </c>
      <c r="Q725">
        <v>0.7885154727385081</v>
      </c>
      <c r="R725" t="s">
        <v>776</v>
      </c>
      <c r="S725" t="s">
        <v>783</v>
      </c>
      <c r="T725">
        <v>1953.49</v>
      </c>
      <c r="U725" s="2">
        <v>44408</v>
      </c>
      <c r="V725" t="s">
        <v>794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19.58</v>
      </c>
      <c r="D726">
        <v>11.4</v>
      </c>
      <c r="E726">
        <v>1.717543859649123</v>
      </c>
      <c r="F726">
        <v>0.07150153217568948</v>
      </c>
      <c r="G726">
        <v>-0.1025331150933706</v>
      </c>
      <c r="H726">
        <v>0.01</v>
      </c>
      <c r="I726">
        <v>-0.00618937617470694</v>
      </c>
      <c r="J726" t="s">
        <v>774</v>
      </c>
      <c r="K726" t="s">
        <v>378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0.8037918166693301</v>
      </c>
      <c r="R726" t="s">
        <v>778</v>
      </c>
      <c r="S726" t="s">
        <v>790</v>
      </c>
      <c r="T726">
        <v>2727.982103</v>
      </c>
      <c r="U726" s="2">
        <v>44420</v>
      </c>
      <c r="V726" t="s">
        <v>800</v>
      </c>
    </row>
    <row r="727" spans="1:22">
      <c r="A727" s="1" t="s">
        <v>747</v>
      </c>
      <c r="B727">
        <f>HYPERLINK("https://www.suredividend.com/sure-analysis-CRT/","Cross Timbers Royalty Trust")</f>
        <v>0</v>
      </c>
      <c r="C727">
        <v>15.1</v>
      </c>
      <c r="D727">
        <v>9</v>
      </c>
      <c r="E727">
        <v>1.677777777777778</v>
      </c>
      <c r="F727">
        <v>0.06622516556291391</v>
      </c>
      <c r="G727">
        <v>-0.0983185972090026</v>
      </c>
      <c r="H727">
        <v>0.01</v>
      </c>
      <c r="I727">
        <v>-0.006601626675771355</v>
      </c>
      <c r="J727" t="s">
        <v>774</v>
      </c>
      <c r="K727" t="s">
        <v>378</v>
      </c>
      <c r="L727">
        <v>1</v>
      </c>
      <c r="M727">
        <v>1</v>
      </c>
      <c r="N727">
        <v>1</v>
      </c>
      <c r="O727">
        <v>0</v>
      </c>
      <c r="P727">
        <v>0.009805797673485328</v>
      </c>
      <c r="Q727">
        <v>1.868735898067917</v>
      </c>
      <c r="R727" t="s">
        <v>776</v>
      </c>
      <c r="S727" t="s">
        <v>789</v>
      </c>
      <c r="T727">
        <v>90.78</v>
      </c>
      <c r="U727" s="2">
        <v>44438</v>
      </c>
      <c r="V727" t="s">
        <v>796</v>
      </c>
    </row>
    <row r="728" spans="1:22">
      <c r="A728" s="1" t="s">
        <v>748</v>
      </c>
      <c r="B728">
        <f>HYPERLINK("https://www.suredividend.com/sure-analysis-MPC/","Marathon Petroleum Corp")</f>
        <v>0</v>
      </c>
      <c r="C728">
        <v>66.40000000000001</v>
      </c>
      <c r="D728">
        <v>49</v>
      </c>
      <c r="E728">
        <v>1.355102040816327</v>
      </c>
      <c r="F728">
        <v>0.03493975903614457</v>
      </c>
      <c r="G728">
        <v>-0.05896538211646418</v>
      </c>
      <c r="H728">
        <v>0.01</v>
      </c>
      <c r="I728">
        <v>-0.009025704088378661</v>
      </c>
      <c r="J728" t="s">
        <v>774</v>
      </c>
      <c r="K728" t="s">
        <v>486</v>
      </c>
      <c r="L728">
        <v>0.6</v>
      </c>
      <c r="M728">
        <v>2.32</v>
      </c>
      <c r="N728">
        <v>3.866666666666667</v>
      </c>
      <c r="O728">
        <v>9</v>
      </c>
      <c r="P728">
        <v>0.01013720758985226</v>
      </c>
      <c r="Q728">
        <v>1.352617991892624</v>
      </c>
      <c r="R728" t="s">
        <v>776</v>
      </c>
      <c r="S728" t="s">
        <v>789</v>
      </c>
      <c r="T728">
        <v>42631.90549</v>
      </c>
      <c r="U728" s="2">
        <v>44427</v>
      </c>
      <c r="V728" t="s">
        <v>796</v>
      </c>
    </row>
    <row r="729" spans="1:22">
      <c r="A729" s="1" t="s">
        <v>749</v>
      </c>
      <c r="B729">
        <f>HYPERLINK("https://www.suredividend.com/sure-analysis-PPRQF/","Choice Properties Real Estate Investment Trust")</f>
        <v>0</v>
      </c>
      <c r="C729">
        <v>12.0506</v>
      </c>
      <c r="D729">
        <v>6.6</v>
      </c>
      <c r="E729">
        <v>1.825848484848485</v>
      </c>
      <c r="F729">
        <v>0.04896021774849385</v>
      </c>
      <c r="G729">
        <v>-0.1134422044961327</v>
      </c>
      <c r="H729">
        <v>0.052</v>
      </c>
      <c r="I729">
        <v>-0.01114796052184874</v>
      </c>
      <c r="J729" t="s">
        <v>774</v>
      </c>
      <c r="K729" t="s">
        <v>486</v>
      </c>
      <c r="L729">
        <v>0.66</v>
      </c>
      <c r="M729">
        <v>0.59</v>
      </c>
      <c r="N729">
        <v>0.8939393939393938</v>
      </c>
      <c r="O729">
        <v>1</v>
      </c>
      <c r="P729">
        <v>-0.006873503878979115</v>
      </c>
      <c r="Q729">
        <v>0.266565397307631</v>
      </c>
      <c r="R729" t="s">
        <v>778</v>
      </c>
      <c r="S729" t="s">
        <v>786</v>
      </c>
      <c r="T729">
        <v>3959.665043</v>
      </c>
      <c r="U729" s="2">
        <v>44415</v>
      </c>
      <c r="V729" t="s">
        <v>800</v>
      </c>
    </row>
    <row r="730" spans="1:22">
      <c r="A730" s="1" t="s">
        <v>750</v>
      </c>
      <c r="B730">
        <f>HYPERLINK("https://www.suredividend.com/sure-analysis-GWRS/","Global Water Resources Inc")</f>
        <v>0</v>
      </c>
      <c r="C730">
        <v>18.69</v>
      </c>
      <c r="D730">
        <v>12</v>
      </c>
      <c r="E730">
        <v>1.5575</v>
      </c>
      <c r="F730">
        <v>0.0155163188871054</v>
      </c>
      <c r="G730">
        <v>-0.08480341916185985</v>
      </c>
      <c r="H730">
        <v>0.06</v>
      </c>
      <c r="I730">
        <v>-0.01197379787525354</v>
      </c>
      <c r="J730" t="s">
        <v>774</v>
      </c>
      <c r="K730" t="s">
        <v>774</v>
      </c>
      <c r="L730">
        <v>0.4</v>
      </c>
      <c r="M730">
        <v>0.29</v>
      </c>
      <c r="N730">
        <v>0.7249999999999999</v>
      </c>
      <c r="O730">
        <v>6</v>
      </c>
      <c r="P730">
        <v>0.01988310171094443</v>
      </c>
      <c r="Q730">
        <v>0.5494805517143561</v>
      </c>
      <c r="R730" t="s">
        <v>776</v>
      </c>
      <c r="S730" t="s">
        <v>787</v>
      </c>
      <c r="T730">
        <v>395.405204</v>
      </c>
      <c r="U730" s="2">
        <v>44415</v>
      </c>
      <c r="V730" t="s">
        <v>791</v>
      </c>
    </row>
    <row r="731" spans="1:22">
      <c r="A731" s="1" t="s">
        <v>751</v>
      </c>
      <c r="B731">
        <f>HYPERLINK("https://www.suredividend.com/sure-analysis-LAND/","Gladstone Land Corp")</f>
        <v>0</v>
      </c>
      <c r="C731">
        <v>23.25</v>
      </c>
      <c r="D731">
        <v>14</v>
      </c>
      <c r="E731">
        <v>1.660714285714286</v>
      </c>
      <c r="F731">
        <v>0.0232258064516129</v>
      </c>
      <c r="G731">
        <v>-0.09647324835472326</v>
      </c>
      <c r="H731">
        <v>0.06</v>
      </c>
      <c r="I731">
        <v>-0.01370734697593468</v>
      </c>
      <c r="J731" t="s">
        <v>774</v>
      </c>
      <c r="K731" t="s">
        <v>774</v>
      </c>
      <c r="L731">
        <v>0.65</v>
      </c>
      <c r="M731">
        <v>0.54</v>
      </c>
      <c r="N731">
        <v>0.8307692307692308</v>
      </c>
      <c r="O731">
        <v>7</v>
      </c>
      <c r="P731">
        <v>0.03131030647754507</v>
      </c>
      <c r="Q731">
        <v>0.660196342526235</v>
      </c>
      <c r="R731" t="s">
        <v>778</v>
      </c>
      <c r="S731" t="s">
        <v>790</v>
      </c>
      <c r="T731">
        <v>722.0953940000001</v>
      </c>
      <c r="U731" s="2">
        <v>44424</v>
      </c>
      <c r="V731" t="s">
        <v>795</v>
      </c>
    </row>
    <row r="732" spans="1:22">
      <c r="A732" s="1" t="s">
        <v>752</v>
      </c>
      <c r="B732">
        <f>HYPERLINK("https://www.suredividend.com/sure-analysis-DREUF/","Dream Industrial Real Estate Investment Trust")</f>
        <v>0</v>
      </c>
      <c r="C732">
        <v>13.4102</v>
      </c>
      <c r="D732">
        <v>8</v>
      </c>
      <c r="E732">
        <v>1.676275</v>
      </c>
      <c r="F732">
        <v>0.04325065994541468</v>
      </c>
      <c r="G732">
        <v>-0.09815698397439043</v>
      </c>
      <c r="H732">
        <v>0.035</v>
      </c>
      <c r="I732">
        <v>-0.01410289104121476</v>
      </c>
      <c r="J732" t="s">
        <v>774</v>
      </c>
      <c r="K732" t="s">
        <v>486</v>
      </c>
      <c r="L732">
        <v>0.65</v>
      </c>
      <c r="M732">
        <v>0.58</v>
      </c>
      <c r="N732">
        <v>0.8923076923076922</v>
      </c>
      <c r="O732">
        <v>0</v>
      </c>
      <c r="P732">
        <v>0.01013720758985226</v>
      </c>
      <c r="Q732">
        <v>0.5349591252457651</v>
      </c>
      <c r="R732" t="s">
        <v>778</v>
      </c>
      <c r="S732" t="s">
        <v>786</v>
      </c>
      <c r="T732">
        <v>2810.274337</v>
      </c>
      <c r="U732" s="2">
        <v>44418</v>
      </c>
      <c r="V732" t="s">
        <v>793</v>
      </c>
    </row>
    <row r="733" spans="1:22">
      <c r="A733" s="1" t="s">
        <v>753</v>
      </c>
      <c r="B733">
        <f>HYPERLINK("https://www.suredividend.com/sure-analysis-WELL/","Welltower Inc")</f>
        <v>0</v>
      </c>
      <c r="C733">
        <v>83.36</v>
      </c>
      <c r="D733">
        <v>56</v>
      </c>
      <c r="E733">
        <v>1.488571428571429</v>
      </c>
      <c r="F733">
        <v>0.02927063339731286</v>
      </c>
      <c r="G733">
        <v>-0.07648051220002305</v>
      </c>
      <c r="H733">
        <v>0.012</v>
      </c>
      <c r="I733">
        <v>-0.01427518118949678</v>
      </c>
      <c r="J733" t="s">
        <v>774</v>
      </c>
      <c r="K733" t="s">
        <v>486</v>
      </c>
      <c r="L733">
        <v>3.19</v>
      </c>
      <c r="M733">
        <v>2.44</v>
      </c>
      <c r="N733">
        <v>0.7648902821316614</v>
      </c>
      <c r="O733">
        <v>0</v>
      </c>
      <c r="P733">
        <v>0.1352031853464852</v>
      </c>
      <c r="Q733">
        <v>0.6054559926398301</v>
      </c>
      <c r="R733" t="s">
        <v>778</v>
      </c>
      <c r="S733" t="s">
        <v>790</v>
      </c>
      <c r="T733">
        <v>35541.760304</v>
      </c>
      <c r="U733" s="2">
        <v>44418</v>
      </c>
      <c r="V733" t="s">
        <v>801</v>
      </c>
    </row>
    <row r="734" spans="1:22">
      <c r="A734" s="1" t="s">
        <v>754</v>
      </c>
      <c r="B734">
        <f>HYPERLINK("https://www.suredividend.com/sure-analysis-PBT/","Permian Basin Royalty Trust")</f>
        <v>0</v>
      </c>
      <c r="C734">
        <v>6.43</v>
      </c>
      <c r="D734">
        <v>3.1</v>
      </c>
      <c r="E734">
        <v>2.074193548387097</v>
      </c>
      <c r="F734">
        <v>0.03732503888024884</v>
      </c>
      <c r="G734">
        <v>-0.1357683955135043</v>
      </c>
      <c r="H734">
        <v>0.07000000000000001</v>
      </c>
      <c r="I734">
        <v>-0.01926607324452501</v>
      </c>
      <c r="J734" t="s">
        <v>774</v>
      </c>
      <c r="K734" t="s">
        <v>486</v>
      </c>
      <c r="L734">
        <v>0.24</v>
      </c>
      <c r="M734">
        <v>0.24</v>
      </c>
      <c r="N734">
        <v>1</v>
      </c>
      <c r="O734">
        <v>0</v>
      </c>
      <c r="P734">
        <v>0.07214502590085092</v>
      </c>
      <c r="Q734">
        <v>1.720671857230338</v>
      </c>
      <c r="R734" t="s">
        <v>776</v>
      </c>
      <c r="S734" t="s">
        <v>789</v>
      </c>
      <c r="T734">
        <v>289.906711</v>
      </c>
      <c r="U734" s="2">
        <v>44438</v>
      </c>
      <c r="V734" t="s">
        <v>796</v>
      </c>
    </row>
    <row r="735" spans="1:22">
      <c r="A735" s="1" t="s">
        <v>755</v>
      </c>
      <c r="B735">
        <f>HYPERLINK("https://www.suredividend.com/sure-analysis-CMP/","Compass Minerals International Inc")</f>
        <v>0</v>
      </c>
      <c r="C735">
        <v>73.19</v>
      </c>
      <c r="D735">
        <v>52</v>
      </c>
      <c r="E735">
        <v>1.4075</v>
      </c>
      <c r="F735">
        <v>0.03934963792867878</v>
      </c>
      <c r="G735">
        <v>-0.06607861656430725</v>
      </c>
      <c r="H735">
        <v>0</v>
      </c>
      <c r="I735">
        <v>-0.01928398704114187</v>
      </c>
      <c r="J735" t="s">
        <v>774</v>
      </c>
      <c r="K735" t="s">
        <v>486</v>
      </c>
      <c r="L735">
        <v>2.25</v>
      </c>
      <c r="M735">
        <v>2.88</v>
      </c>
      <c r="N735">
        <v>1.28</v>
      </c>
      <c r="O735">
        <v>0</v>
      </c>
      <c r="P735">
        <v>0</v>
      </c>
      <c r="Q735">
        <v>0.263278928731328</v>
      </c>
      <c r="R735" t="s">
        <v>776</v>
      </c>
      <c r="S735" t="s">
        <v>782</v>
      </c>
      <c r="T735">
        <v>2535.544327</v>
      </c>
      <c r="U735" s="2">
        <v>44432</v>
      </c>
      <c r="V735" t="s">
        <v>791</v>
      </c>
    </row>
    <row r="736" spans="1:22">
      <c r="A736" s="1" t="s">
        <v>756</v>
      </c>
      <c r="B736">
        <f>HYPERLINK("https://www.suredividend.com/sure-analysis-ARI/","Apollo Commercial Real Estate Finance Inc")</f>
        <v>0</v>
      </c>
      <c r="C736">
        <v>15.38</v>
      </c>
      <c r="D736">
        <v>11.6</v>
      </c>
      <c r="E736">
        <v>1.325862068965517</v>
      </c>
      <c r="F736">
        <v>0.09102730819245773</v>
      </c>
      <c r="G736">
        <v>-0.05485088774785707</v>
      </c>
      <c r="H736">
        <v>-0.07199999999999999</v>
      </c>
      <c r="I736">
        <v>-0.02244340019277591</v>
      </c>
      <c r="J736" t="s">
        <v>774</v>
      </c>
      <c r="K736" t="s">
        <v>378</v>
      </c>
      <c r="L736">
        <v>1.45</v>
      </c>
      <c r="M736">
        <v>1.4</v>
      </c>
      <c r="N736">
        <v>0.9655172413793103</v>
      </c>
      <c r="O736">
        <v>0</v>
      </c>
      <c r="P736">
        <v>-0.06508012385152984</v>
      </c>
      <c r="Q736">
        <v>0.8530614219706311</v>
      </c>
      <c r="R736" t="s">
        <v>778</v>
      </c>
      <c r="S736" t="s">
        <v>790</v>
      </c>
      <c r="T736">
        <v>2143.176999</v>
      </c>
      <c r="U736" s="2">
        <v>44411</v>
      </c>
      <c r="V736" t="s">
        <v>800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52.31</v>
      </c>
      <c r="D737">
        <v>34.7</v>
      </c>
      <c r="E737">
        <v>1.507492795389049</v>
      </c>
      <c r="F737">
        <v>0.06958516536035175</v>
      </c>
      <c r="G737">
        <v>-0.07881055970144468</v>
      </c>
      <c r="H737">
        <v>-0.049</v>
      </c>
      <c r="I737">
        <v>-0.03744685927691949</v>
      </c>
      <c r="J737" t="s">
        <v>774</v>
      </c>
      <c r="K737" t="s">
        <v>378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0.7229817891131071</v>
      </c>
      <c r="R737" t="s">
        <v>776</v>
      </c>
      <c r="S737" t="s">
        <v>786</v>
      </c>
      <c r="T737">
        <v>5206.027321</v>
      </c>
      <c r="U737" s="2">
        <v>44415</v>
      </c>
      <c r="V737" t="s">
        <v>800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32.93</v>
      </c>
      <c r="D738">
        <v>18</v>
      </c>
      <c r="E738">
        <v>1.829444444444444</v>
      </c>
      <c r="F738">
        <v>0.001214697843911327</v>
      </c>
      <c r="G738">
        <v>-0.1137910027925871</v>
      </c>
      <c r="H738">
        <v>0.06</v>
      </c>
      <c r="I738">
        <v>-0.05488261622067969</v>
      </c>
      <c r="J738" t="s">
        <v>774</v>
      </c>
      <c r="K738" t="s">
        <v>774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2.142806091048065</v>
      </c>
      <c r="R738" t="s">
        <v>776</v>
      </c>
      <c r="S738" t="s">
        <v>789</v>
      </c>
      <c r="T738">
        <v>29562.038607</v>
      </c>
      <c r="U738" s="2">
        <v>44433</v>
      </c>
      <c r="V738" t="s">
        <v>796</v>
      </c>
    </row>
    <row r="739" spans="1:22">
      <c r="A739" s="1" t="s">
        <v>759</v>
      </c>
      <c r="B739">
        <f>HYPERLINK("https://www.suredividend.com/sure-analysis-HP/","Helmerich &amp; Payne, Inc.")</f>
        <v>0</v>
      </c>
      <c r="C739">
        <v>34.29</v>
      </c>
      <c r="D739">
        <v>9</v>
      </c>
      <c r="E739">
        <v>3.81</v>
      </c>
      <c r="F739">
        <v>0.02916302128900554</v>
      </c>
      <c r="G739">
        <v>-0.2347294425614451</v>
      </c>
      <c r="H739">
        <v>0.17</v>
      </c>
      <c r="I739">
        <v>-0.063261297394688</v>
      </c>
      <c r="J739" t="s">
        <v>774</v>
      </c>
      <c r="K739" t="s">
        <v>774</v>
      </c>
      <c r="L739">
        <v>0.55</v>
      </c>
      <c r="M739">
        <v>1</v>
      </c>
      <c r="N739">
        <v>1.818181818181818</v>
      </c>
      <c r="O739">
        <v>0</v>
      </c>
      <c r="P739">
        <v>0</v>
      </c>
      <c r="Q739">
        <v>1.379430563625798</v>
      </c>
      <c r="R739" t="s">
        <v>776</v>
      </c>
      <c r="S739" t="s">
        <v>789</v>
      </c>
      <c r="T739">
        <v>3534.764098</v>
      </c>
      <c r="U739" s="2">
        <v>44427</v>
      </c>
      <c r="V739" t="s">
        <v>796</v>
      </c>
    </row>
    <row r="740" spans="1:22">
      <c r="A740" s="1" t="s">
        <v>760</v>
      </c>
      <c r="B740">
        <f>HYPERLINK("https://www.suredividend.com/sure-analysis-BX/","Blackstone Inc")</f>
        <v>0</v>
      </c>
      <c r="C740">
        <v>123.81</v>
      </c>
      <c r="D740">
        <v>57</v>
      </c>
      <c r="E740">
        <v>2.172105263157895</v>
      </c>
      <c r="F740">
        <v>0.02439221387610048</v>
      </c>
      <c r="G740">
        <v>-0.1437041752826057</v>
      </c>
      <c r="H740">
        <v>0.05</v>
      </c>
      <c r="I740">
        <v>-0.06334430643120403</v>
      </c>
      <c r="J740" t="s">
        <v>774</v>
      </c>
      <c r="K740" t="s">
        <v>774</v>
      </c>
      <c r="L740">
        <v>3.55</v>
      </c>
      <c r="M740">
        <v>3.02</v>
      </c>
      <c r="N740">
        <v>0.8507042253521128</v>
      </c>
      <c r="O740">
        <v>0</v>
      </c>
      <c r="P740">
        <v>0.02994069964269874</v>
      </c>
      <c r="Q740">
        <v>1.291697323838458</v>
      </c>
      <c r="R740" t="s">
        <v>776</v>
      </c>
      <c r="S740" t="s">
        <v>786</v>
      </c>
      <c r="T740">
        <v>84392.249491</v>
      </c>
      <c r="U740" s="2">
        <v>44399</v>
      </c>
      <c r="V740" t="s">
        <v>797</v>
      </c>
    </row>
    <row r="741" spans="1:22">
      <c r="A741" s="1" t="s">
        <v>761</v>
      </c>
      <c r="B741">
        <f>HYPERLINK("https://www.suredividend.com/sure-analysis-GROW/","U.S. Global Investors, Inc.")</f>
        <v>0</v>
      </c>
      <c r="C741">
        <v>6.04</v>
      </c>
      <c r="D741">
        <v>3.1</v>
      </c>
      <c r="E741">
        <v>1.948387096774193</v>
      </c>
      <c r="F741">
        <v>0.009933774834437087</v>
      </c>
      <c r="G741">
        <v>-0.1248853565235746</v>
      </c>
      <c r="H741">
        <v>0.026</v>
      </c>
      <c r="I741">
        <v>-0.0846052592944192</v>
      </c>
      <c r="J741" t="s">
        <v>774</v>
      </c>
      <c r="K741" t="s">
        <v>774</v>
      </c>
      <c r="L741">
        <v>0.06</v>
      </c>
      <c r="M741">
        <v>0.06</v>
      </c>
      <c r="N741">
        <v>1</v>
      </c>
      <c r="O741">
        <v>0</v>
      </c>
      <c r="P741">
        <v>0.05922384104881218</v>
      </c>
      <c r="Q741">
        <v>1.360515021459227</v>
      </c>
      <c r="R741" t="s">
        <v>776</v>
      </c>
      <c r="S741" t="s">
        <v>786</v>
      </c>
      <c r="T741">
        <v>77.092142</v>
      </c>
      <c r="U741" s="2">
        <v>44336</v>
      </c>
      <c r="V741" t="s">
        <v>800</v>
      </c>
    </row>
    <row r="742" spans="1:22">
      <c r="A742" s="1" t="s">
        <v>762</v>
      </c>
      <c r="B742">
        <f>HYPERLINK("https://www.suredividend.com/sure-analysis-CVA/","Covanta Holding Corporation")</f>
        <v>0</v>
      </c>
      <c r="C742">
        <v>20.15</v>
      </c>
      <c r="D742">
        <v>5.55</v>
      </c>
      <c r="E742">
        <v>3.63063063063063</v>
      </c>
      <c r="F742">
        <v>0.01588089330024814</v>
      </c>
      <c r="G742">
        <v>-0.2273130338587878</v>
      </c>
      <c r="H742">
        <v>0.1</v>
      </c>
      <c r="I742">
        <v>-0.1215857897053197</v>
      </c>
      <c r="J742" t="s">
        <v>774</v>
      </c>
      <c r="K742" t="s">
        <v>774</v>
      </c>
      <c r="L742">
        <v>0.37</v>
      </c>
      <c r="M742">
        <v>0.32</v>
      </c>
      <c r="N742">
        <v>0.8648648648648649</v>
      </c>
      <c r="O742">
        <v>0</v>
      </c>
      <c r="P742">
        <v>0</v>
      </c>
      <c r="Q742">
        <v>1.532569702309774</v>
      </c>
      <c r="R742" t="s">
        <v>776</v>
      </c>
      <c r="S742" t="s">
        <v>783</v>
      </c>
      <c r="T742">
        <v>2676.144742</v>
      </c>
      <c r="U742" s="2">
        <v>44423</v>
      </c>
      <c r="V742" t="s">
        <v>798</v>
      </c>
    </row>
    <row r="743" spans="1:22">
      <c r="A743" s="1" t="s">
        <v>763</v>
      </c>
      <c r="B743">
        <f>HYPERLINK("https://www.suredividend.com/sure-analysis-PTEN/","Patterson-UTI Energy Inc")</f>
        <v>0</v>
      </c>
      <c r="C743">
        <v>9.43</v>
      </c>
      <c r="D743">
        <v>5.95</v>
      </c>
      <c r="E743">
        <v>1.584873949579832</v>
      </c>
      <c r="F743">
        <v>0.008483563096500531</v>
      </c>
      <c r="G743">
        <v>-0.08798694600347712</v>
      </c>
      <c r="H743">
        <v>-0.1</v>
      </c>
      <c r="I743">
        <v>-0.1612957309360616</v>
      </c>
      <c r="J743" t="s">
        <v>774</v>
      </c>
      <c r="K743" t="s">
        <v>774</v>
      </c>
      <c r="L743">
        <v>-2</v>
      </c>
      <c r="M743">
        <v>0.08</v>
      </c>
      <c r="N743">
        <v>9.99</v>
      </c>
      <c r="O743">
        <v>0</v>
      </c>
      <c r="P743">
        <v>0</v>
      </c>
      <c r="Q743">
        <v>2.467501718475521</v>
      </c>
      <c r="R743" t="s">
        <v>776</v>
      </c>
      <c r="S743" t="s">
        <v>789</v>
      </c>
      <c r="T743">
        <v>1716.381313</v>
      </c>
      <c r="U743" s="2">
        <v>44432</v>
      </c>
      <c r="V743" t="s">
        <v>796</v>
      </c>
    </row>
    <row r="744" spans="1:22">
      <c r="A744" s="1" t="s">
        <v>764</v>
      </c>
      <c r="B744">
        <f>HYPERLINK("https://www.suredividend.com/sure-analysis-MGM/","MGM Resorts International")</f>
        <v>0</v>
      </c>
      <c r="C744">
        <v>48.24</v>
      </c>
      <c r="D744">
        <v>12</v>
      </c>
      <c r="E744">
        <v>4.02</v>
      </c>
      <c r="F744">
        <v>0.0002072968490878939</v>
      </c>
      <c r="G744">
        <v>-0.2428973097564412</v>
      </c>
      <c r="H744">
        <v>0.06</v>
      </c>
      <c r="I744">
        <v>-0.1939794337557976</v>
      </c>
      <c r="J744" t="s">
        <v>774</v>
      </c>
      <c r="K744" t="s">
        <v>774</v>
      </c>
      <c r="L744">
        <v>-1</v>
      </c>
      <c r="M744">
        <v>0.01</v>
      </c>
      <c r="N744">
        <v>9.99</v>
      </c>
      <c r="O744">
        <v>0</v>
      </c>
      <c r="P744">
        <v>0.7411011265922482</v>
      </c>
      <c r="Q744">
        <v>1.258128320084391</v>
      </c>
      <c r="R744" t="s">
        <v>776</v>
      </c>
      <c r="S744" t="s">
        <v>788</v>
      </c>
      <c r="T744">
        <v>23106.164077</v>
      </c>
      <c r="U744" s="2">
        <v>44432</v>
      </c>
      <c r="V744" t="s">
        <v>796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8.32</v>
      </c>
      <c r="D745">
        <v>10.16</v>
      </c>
      <c r="E745">
        <v>0.8188976377952756</v>
      </c>
      <c r="F745">
        <v>0</v>
      </c>
      <c r="G745">
        <v>0.04076834896984272</v>
      </c>
      <c r="H745">
        <v>-0.05</v>
      </c>
      <c r="I745">
        <v>0.06672271501490723</v>
      </c>
      <c r="J745" t="s">
        <v>775</v>
      </c>
      <c r="K745" t="s">
        <v>775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-0.201744442950183</v>
      </c>
      <c r="R745" t="s">
        <v>778</v>
      </c>
      <c r="S745" t="s">
        <v>790</v>
      </c>
      <c r="T745">
        <v>1018.421471</v>
      </c>
      <c r="U745" s="2">
        <v>44413</v>
      </c>
      <c r="V745" t="s">
        <v>791</v>
      </c>
    </row>
    <row r="746" spans="1:22">
      <c r="A746" s="1" t="s">
        <v>766</v>
      </c>
      <c r="B746">
        <f>HYPERLINK("https://www.suredividend.com/sure-analysis-HFC/","HollyFrontier Corp")</f>
        <v>0</v>
      </c>
      <c r="C746">
        <v>36.71</v>
      </c>
      <c r="D746">
        <v>39</v>
      </c>
      <c r="E746">
        <v>0.9412820512820513</v>
      </c>
      <c r="F746">
        <v>0</v>
      </c>
      <c r="G746">
        <v>0.01217602119147254</v>
      </c>
      <c r="H746">
        <v>0.03</v>
      </c>
      <c r="I746">
        <v>0.06122888618301792</v>
      </c>
      <c r="J746" t="s">
        <v>775</v>
      </c>
      <c r="K746" t="s">
        <v>775</v>
      </c>
      <c r="L746">
        <v>1</v>
      </c>
      <c r="M746">
        <v>0</v>
      </c>
      <c r="N746">
        <v>0</v>
      </c>
      <c r="O746">
        <v>0</v>
      </c>
      <c r="P746">
        <v>0.01613736474159566</v>
      </c>
      <c r="Q746">
        <v>0.852501436146146</v>
      </c>
      <c r="R746" t="s">
        <v>776</v>
      </c>
      <c r="S746" t="s">
        <v>789</v>
      </c>
      <c r="T746">
        <v>5921.141649</v>
      </c>
      <c r="U746" s="2">
        <v>44434</v>
      </c>
      <c r="V746" t="s">
        <v>796</v>
      </c>
    </row>
    <row r="747" spans="1:22">
      <c r="A747" s="1" t="s">
        <v>767</v>
      </c>
      <c r="B747">
        <f>HYPERLINK("https://www.suredividend.com/sure-analysis-CLDT/","Chatham Lodging Trust")</f>
        <v>0</v>
      </c>
      <c r="C747">
        <v>12.85</v>
      </c>
      <c r="D747">
        <v>11</v>
      </c>
      <c r="E747">
        <v>1.168181818181818</v>
      </c>
      <c r="F747">
        <v>0</v>
      </c>
      <c r="G747">
        <v>-0.03061139245535327</v>
      </c>
      <c r="H747">
        <v>0.05</v>
      </c>
      <c r="I747">
        <v>0.04271461116865227</v>
      </c>
      <c r="J747" t="s">
        <v>775</v>
      </c>
      <c r="K747" t="s">
        <v>775</v>
      </c>
      <c r="L747">
        <v>0.28</v>
      </c>
      <c r="M747">
        <v>0</v>
      </c>
      <c r="N747">
        <v>0</v>
      </c>
      <c r="O747">
        <v>0</v>
      </c>
      <c r="P747">
        <v>0.02104646949148603</v>
      </c>
      <c r="Q747">
        <v>0.7625000000000001</v>
      </c>
      <c r="R747" t="s">
        <v>778</v>
      </c>
      <c r="S747" t="s">
        <v>790</v>
      </c>
      <c r="T747">
        <v>618.726673</v>
      </c>
      <c r="U747" s="2">
        <v>44418</v>
      </c>
      <c r="V747" t="s">
        <v>793</v>
      </c>
    </row>
    <row r="748" spans="1:22">
      <c r="A748" s="1" t="s">
        <v>768</v>
      </c>
      <c r="B748">
        <f>HYPERLINK("https://www.suredividend.com/sure-analysis-PK/","Park Hotels &amp; Resorts Inc")</f>
        <v>0</v>
      </c>
      <c r="C748">
        <v>19.34</v>
      </c>
      <c r="D748">
        <v>18</v>
      </c>
      <c r="E748">
        <v>1.074444444444445</v>
      </c>
      <c r="F748">
        <v>0</v>
      </c>
      <c r="G748">
        <v>-0.01425812274505978</v>
      </c>
      <c r="H748">
        <v>0.015</v>
      </c>
      <c r="I748">
        <v>0.03787906298689259</v>
      </c>
      <c r="J748" t="s">
        <v>775</v>
      </c>
      <c r="K748" t="s">
        <v>775</v>
      </c>
      <c r="L748">
        <v>-0.7</v>
      </c>
      <c r="M748">
        <v>0</v>
      </c>
      <c r="N748">
        <v>-0</v>
      </c>
      <c r="O748">
        <v>0</v>
      </c>
      <c r="P748">
        <v>0.07999957023861581</v>
      </c>
      <c r="Q748">
        <v>0.9196787148594371</v>
      </c>
      <c r="R748" t="s">
        <v>778</v>
      </c>
      <c r="S748" t="s">
        <v>790</v>
      </c>
      <c r="T748">
        <v>4521.744152</v>
      </c>
      <c r="U748" s="2">
        <v>44424</v>
      </c>
      <c r="V748" t="s">
        <v>793</v>
      </c>
    </row>
    <row r="749" spans="1:22">
      <c r="A749" s="1" t="s">
        <v>769</v>
      </c>
      <c r="B749">
        <f>HYPERLINK("https://www.suredividend.com/sure-analysis-CAE/","Cae Inc.")</f>
        <v>0</v>
      </c>
      <c r="C749">
        <v>30.7</v>
      </c>
      <c r="D749">
        <v>17</v>
      </c>
      <c r="E749">
        <v>1.805882352941176</v>
      </c>
      <c r="F749">
        <v>0</v>
      </c>
      <c r="G749">
        <v>-0.1114904314431578</v>
      </c>
      <c r="H749">
        <v>0.15</v>
      </c>
      <c r="I749">
        <v>0.02178600384036855</v>
      </c>
      <c r="J749" t="s">
        <v>775</v>
      </c>
      <c r="K749" t="s">
        <v>775</v>
      </c>
      <c r="L749">
        <v>0.84</v>
      </c>
      <c r="M749">
        <v>0</v>
      </c>
      <c r="N749">
        <v>0</v>
      </c>
      <c r="O749">
        <v>0</v>
      </c>
      <c r="P749">
        <v>0.09980608000232882</v>
      </c>
      <c r="Q749">
        <v>0.9471393034825871</v>
      </c>
      <c r="R749" t="s">
        <v>776</v>
      </c>
      <c r="S749" t="s">
        <v>783</v>
      </c>
      <c r="T749">
        <v>9918.006267999999</v>
      </c>
      <c r="U749" s="2">
        <v>44435</v>
      </c>
      <c r="V749" t="s">
        <v>796</v>
      </c>
    </row>
    <row r="750" spans="1:22">
      <c r="A750" s="1" t="s">
        <v>770</v>
      </c>
      <c r="B750">
        <f>HYPERLINK("https://www.suredividend.com/sure-analysis-CHRRF/","Chorus Aviation, Inc.")</f>
        <v>0</v>
      </c>
      <c r="C750">
        <v>3.1037</v>
      </c>
      <c r="D750">
        <v>2.16</v>
      </c>
      <c r="E750">
        <v>1.436898148148148</v>
      </c>
      <c r="F750">
        <v>0</v>
      </c>
      <c r="G750">
        <v>-0.06993178428523317</v>
      </c>
      <c r="H750">
        <v>0.03</v>
      </c>
      <c r="I750">
        <v>-0.009836092311765965</v>
      </c>
      <c r="J750" t="s">
        <v>775</v>
      </c>
      <c r="K750" t="s">
        <v>775</v>
      </c>
      <c r="L750">
        <v>0.26</v>
      </c>
      <c r="M750">
        <v>0</v>
      </c>
      <c r="N750">
        <v>0</v>
      </c>
      <c r="O750">
        <v>0</v>
      </c>
      <c r="P750">
        <v>0.06399531281508364</v>
      </c>
      <c r="Q750">
        <v>0.844123856439127</v>
      </c>
      <c r="R750" t="s">
        <v>776</v>
      </c>
      <c r="S750" t="s">
        <v>783</v>
      </c>
      <c r="T750">
        <v>558.640982</v>
      </c>
      <c r="U750" s="2">
        <v>44421</v>
      </c>
      <c r="V750" t="s">
        <v>793</v>
      </c>
    </row>
    <row r="751" spans="1:22">
      <c r="A751" s="1" t="s">
        <v>771</v>
      </c>
      <c r="B751">
        <f>HYPERLINK("https://www.suredividend.com/sure-analysis-NGL/","NGL Energy Partners LP")</f>
        <v>0</v>
      </c>
      <c r="C751">
        <v>2.78</v>
      </c>
      <c r="D751">
        <v>3</v>
      </c>
      <c r="E751">
        <v>0.9266666666666667</v>
      </c>
      <c r="F751">
        <v>0</v>
      </c>
      <c r="G751">
        <v>0.01534887453847844</v>
      </c>
      <c r="H751">
        <v>-0.025</v>
      </c>
      <c r="I751">
        <v>-0.0100348473249835</v>
      </c>
      <c r="J751" t="s">
        <v>775</v>
      </c>
      <c r="K751" t="s">
        <v>775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-0.249714565323764</v>
      </c>
      <c r="R751" t="s">
        <v>777</v>
      </c>
      <c r="S751" t="s">
        <v>789</v>
      </c>
      <c r="T751">
        <v>357.679272</v>
      </c>
      <c r="U751" s="2">
        <v>44442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788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785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786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784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787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615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726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702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443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771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627</v>
      </c>
      <c r="B243">
        <v>43819</v>
      </c>
    </row>
    <row r="244" spans="1:2">
      <c r="A244" s="1" t="s">
        <v>629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660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626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669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520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632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674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754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701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579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321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676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555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725</v>
      </c>
      <c r="B341">
        <v>43853</v>
      </c>
    </row>
    <row r="342" spans="1:2">
      <c r="A342" s="1" t="s">
        <v>706</v>
      </c>
      <c r="B342">
        <v>43760</v>
      </c>
    </row>
    <row r="343" spans="1:2">
      <c r="A343" s="1" t="s">
        <v>650</v>
      </c>
      <c r="B343">
        <v>43854</v>
      </c>
    </row>
    <row r="344" spans="1:2">
      <c r="A344" s="1" t="s">
        <v>687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370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366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544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667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663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684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747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709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756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704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665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699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716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463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580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715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503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649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442</v>
      </c>
      <c r="B483">
        <v>43832</v>
      </c>
    </row>
    <row r="484" spans="1:2">
      <c r="A484" s="1" t="s">
        <v>385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692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768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648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713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548</v>
      </c>
      <c r="B561">
        <v>43845</v>
      </c>
    </row>
    <row r="562" spans="1:2">
      <c r="A562" s="1" t="s">
        <v>707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657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546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671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633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618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681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645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581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742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482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686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721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737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732</v>
      </c>
      <c r="B744">
        <v>43833</v>
      </c>
    </row>
    <row r="745" spans="1:2">
      <c r="A745" s="1" t="s">
        <v>731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688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360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435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269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691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680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698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696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767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361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508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656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567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584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373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703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762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711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728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543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196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624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759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364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335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672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513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497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641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222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611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708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446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617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337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679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571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644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736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232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521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625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745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201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485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528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719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510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565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740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248</v>
      </c>
      <c r="B1527">
        <v>43830</v>
      </c>
    </row>
    <row r="1528" spans="1:2">
      <c r="A1528" s="1" t="s">
        <v>357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585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391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610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229</v>
      </c>
      <c r="B1556">
        <v>43864</v>
      </c>
    </row>
    <row r="1557" spans="1:2">
      <c r="A1557" s="1" t="s">
        <v>330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564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616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413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350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590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35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345</v>
      </c>
      <c r="B1630">
        <v>43823</v>
      </c>
    </row>
    <row r="1631" spans="1:2">
      <c r="A1631" s="1" t="s">
        <v>331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522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235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724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654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635</v>
      </c>
      <c r="B1677" t="s">
        <v>10117</v>
      </c>
    </row>
    <row r="1678" spans="1:2">
      <c r="A1678" s="1" t="s">
        <v>622</v>
      </c>
      <c r="B1678">
        <v>43741</v>
      </c>
    </row>
    <row r="1679" spans="1:2">
      <c r="A1679" s="1" t="s">
        <v>507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536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532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700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491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602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552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402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578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396</v>
      </c>
      <c r="B1777">
        <v>43783</v>
      </c>
    </row>
    <row r="1778" spans="1:2">
      <c r="A1778" s="1" t="s">
        <v>604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483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729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397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755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197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189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550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265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634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561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738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498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744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655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568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652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614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401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735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486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551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369</v>
      </c>
      <c r="B2047">
        <v>43819</v>
      </c>
    </row>
    <row r="2048" spans="1:2">
      <c r="A2048" s="1" t="s">
        <v>753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651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620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697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260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554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577</v>
      </c>
      <c r="B2101">
        <v>43802</v>
      </c>
    </row>
    <row r="2102" spans="1:2">
      <c r="A2102" s="1" t="s">
        <v>613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354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720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545</v>
      </c>
      <c r="B2124" t="s">
        <v>775</v>
      </c>
    </row>
    <row r="2125" spans="1:2">
      <c r="A2125" s="1" t="s">
        <v>549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477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658</v>
      </c>
      <c r="B2147">
        <v>43861</v>
      </c>
    </row>
    <row r="2148" spans="1:2">
      <c r="A2148" s="1" t="s">
        <v>636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587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524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586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519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415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710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417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386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523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751</v>
      </c>
      <c r="B2257">
        <v>43830</v>
      </c>
    </row>
    <row r="2258" spans="1:2">
      <c r="A2258" s="1" t="s">
        <v>221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421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226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64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596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535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723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695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219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694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208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533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484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224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362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214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426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410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662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176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259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478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538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423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597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254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563</v>
      </c>
      <c r="B2436">
        <v>43832</v>
      </c>
    </row>
    <row r="2437" spans="1:2">
      <c r="A2437" s="1" t="s">
        <v>541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205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515</v>
      </c>
      <c r="B2444">
        <v>43823</v>
      </c>
    </row>
    <row r="2445" spans="1:2">
      <c r="A2445" s="1" t="s">
        <v>646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440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390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276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462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179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492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623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394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718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705</v>
      </c>
      <c r="B2525">
        <v>43845</v>
      </c>
    </row>
    <row r="2526" spans="1:2">
      <c r="A2526" s="1" t="s">
        <v>324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666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494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33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714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389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70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42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689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432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531</v>
      </c>
      <c r="B2584">
        <v>43846</v>
      </c>
    </row>
    <row r="2585" spans="1:2">
      <c r="A2585" s="1" t="s">
        <v>430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382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600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661</v>
      </c>
      <c r="B2602">
        <v>43798</v>
      </c>
    </row>
    <row r="2603" spans="1:2">
      <c r="A2603" s="1" t="s">
        <v>328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272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733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209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619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409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141</v>
      </c>
      <c r="B2652">
        <v>43832</v>
      </c>
    </row>
    <row r="2653" spans="1:2">
      <c r="A2653" s="1" t="s">
        <v>505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575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760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336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395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512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343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640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379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243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216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358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685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344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748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256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372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251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202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249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61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690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504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670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388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264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38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280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194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418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501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305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51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441</v>
      </c>
      <c r="B2913">
        <v>43629</v>
      </c>
    </row>
    <row r="2914" spans="1:2">
      <c r="A2914" s="1" t="s">
        <v>37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63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516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203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31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252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638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356</v>
      </c>
      <c r="B2987">
        <v>43803</v>
      </c>
    </row>
    <row r="2988" spans="1:2">
      <c r="A2988" s="1" t="s">
        <v>422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137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359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534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381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262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525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327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241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275</v>
      </c>
      <c r="B3062">
        <v>43801</v>
      </c>
    </row>
    <row r="3063" spans="1:2">
      <c r="A3063" s="1" t="s">
        <v>59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609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431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642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668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270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608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231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429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183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488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556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496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347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606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242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734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560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238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206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595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88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511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448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518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437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436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374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215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307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562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97</v>
      </c>
      <c r="B3280">
        <v>43831</v>
      </c>
    </row>
    <row r="3281" spans="1:2">
      <c r="A3281" s="1" t="s">
        <v>367</v>
      </c>
      <c r="B3281">
        <v>43800</v>
      </c>
    </row>
    <row r="3282" spans="1:2">
      <c r="A3282" s="1" t="s">
        <v>102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404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184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490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192</v>
      </c>
      <c r="B3325">
        <v>43892</v>
      </c>
    </row>
    <row r="3326" spans="1:2">
      <c r="A3326" s="1" t="s">
        <v>349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346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253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257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730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557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52</v>
      </c>
      <c r="B3364">
        <v>43818</v>
      </c>
    </row>
    <row r="3365" spans="1:2">
      <c r="A3365" s="1" t="s">
        <v>283</v>
      </c>
      <c r="B3365">
        <v>43837</v>
      </c>
    </row>
    <row r="3366" spans="1:2">
      <c r="A3366" s="1" t="s">
        <v>47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291</v>
      </c>
      <c r="B3374">
        <v>43763</v>
      </c>
    </row>
    <row r="3375" spans="1:2">
      <c r="A3375" s="1" t="s">
        <v>277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89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87</v>
      </c>
      <c r="B3400">
        <v>43845</v>
      </c>
    </row>
    <row r="3401" spans="1:2">
      <c r="A3401" s="1" t="s">
        <v>365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187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583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480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766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352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456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479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3868</v>
      </c>
      <c r="B3433">
        <v>43798</v>
      </c>
    </row>
    <row r="3434" spans="1:2">
      <c r="A3434" s="1" t="s">
        <v>3869</v>
      </c>
      <c r="B3434">
        <v>43783</v>
      </c>
    </row>
    <row r="3435" spans="1:2">
      <c r="A3435" s="1" t="s">
        <v>3870</v>
      </c>
      <c r="B3435">
        <v>43812</v>
      </c>
    </row>
    <row r="3436" spans="1:2">
      <c r="A3436" s="1" t="s">
        <v>3871</v>
      </c>
      <c r="B3436">
        <v>43819</v>
      </c>
    </row>
    <row r="3437" spans="1:2">
      <c r="A3437" s="1" t="s">
        <v>110</v>
      </c>
      <c r="B3437">
        <v>43812</v>
      </c>
    </row>
    <row r="3438" spans="1:2">
      <c r="A3438" s="1" t="s">
        <v>3872</v>
      </c>
      <c r="B3438" t="s">
        <v>775</v>
      </c>
    </row>
    <row r="3439" spans="1:2">
      <c r="A3439" s="1" t="s">
        <v>3873</v>
      </c>
      <c r="B3439">
        <v>43649</v>
      </c>
    </row>
    <row r="3440" spans="1:2">
      <c r="A3440" s="1" t="s">
        <v>3874</v>
      </c>
      <c r="B3440">
        <v>43804</v>
      </c>
    </row>
    <row r="3441" spans="1:2">
      <c r="A3441" s="1" t="s">
        <v>200</v>
      </c>
      <c r="B3441">
        <v>43838</v>
      </c>
    </row>
    <row r="3442" spans="1:2">
      <c r="A3442" s="1" t="s">
        <v>3875</v>
      </c>
      <c r="B3442">
        <v>43789</v>
      </c>
    </row>
    <row r="3443" spans="1:2">
      <c r="A3443" s="1" t="s">
        <v>3876</v>
      </c>
      <c r="B3443">
        <v>43798</v>
      </c>
    </row>
    <row r="3444" spans="1:2">
      <c r="A3444" s="1" t="s">
        <v>3877</v>
      </c>
      <c r="B3444">
        <v>43823</v>
      </c>
    </row>
    <row r="3445" spans="1:2">
      <c r="A3445" s="1" t="s">
        <v>3878</v>
      </c>
      <c r="B3445">
        <v>43798</v>
      </c>
    </row>
    <row r="3446" spans="1:2">
      <c r="A3446" s="1" t="s">
        <v>3879</v>
      </c>
      <c r="B3446">
        <v>43749</v>
      </c>
    </row>
    <row r="3447" spans="1:2">
      <c r="A3447" s="1" t="s">
        <v>3880</v>
      </c>
      <c r="B3447">
        <v>43815</v>
      </c>
    </row>
    <row r="3448" spans="1:2">
      <c r="A3448" s="1" t="s">
        <v>3881</v>
      </c>
      <c r="B3448">
        <v>43704</v>
      </c>
    </row>
    <row r="3449" spans="1:2">
      <c r="A3449" s="1" t="s">
        <v>3882</v>
      </c>
      <c r="B3449">
        <v>43819</v>
      </c>
    </row>
    <row r="3450" spans="1:2">
      <c r="A3450" s="1" t="s">
        <v>3883</v>
      </c>
      <c r="B3450">
        <v>43733</v>
      </c>
    </row>
    <row r="3451" spans="1:2">
      <c r="A3451" s="1" t="s">
        <v>3884</v>
      </c>
      <c r="B3451">
        <v>43798</v>
      </c>
    </row>
    <row r="3452" spans="1:2">
      <c r="A3452" s="1" t="s">
        <v>3885</v>
      </c>
      <c r="B3452">
        <v>43691</v>
      </c>
    </row>
    <row r="3453" spans="1:2">
      <c r="A3453" s="1" t="s">
        <v>3886</v>
      </c>
      <c r="B3453">
        <v>43798</v>
      </c>
    </row>
    <row r="3454" spans="1:2">
      <c r="A3454" s="1" t="s">
        <v>3887</v>
      </c>
      <c r="B3454">
        <v>43819</v>
      </c>
    </row>
    <row r="3455" spans="1:2">
      <c r="A3455" s="1" t="s">
        <v>236</v>
      </c>
      <c r="B3455">
        <v>43773</v>
      </c>
    </row>
    <row r="3456" spans="1:2">
      <c r="A3456" s="1" t="s">
        <v>3888</v>
      </c>
      <c r="B3456">
        <v>43853</v>
      </c>
    </row>
    <row r="3457" spans="1:2">
      <c r="A3457" s="1" t="s">
        <v>3889</v>
      </c>
      <c r="B3457">
        <v>43830</v>
      </c>
    </row>
    <row r="3458" spans="1:2">
      <c r="A3458" s="1" t="s">
        <v>3890</v>
      </c>
      <c r="B3458">
        <v>43832</v>
      </c>
    </row>
    <row r="3459" spans="1:2">
      <c r="A3459" s="1" t="s">
        <v>50</v>
      </c>
      <c r="B3459">
        <v>43800</v>
      </c>
    </row>
    <row r="3460" spans="1:2">
      <c r="A3460" s="1" t="s">
        <v>3891</v>
      </c>
      <c r="B3460">
        <v>43739</v>
      </c>
    </row>
    <row r="3461" spans="1:2">
      <c r="A3461" s="1" t="s">
        <v>3892</v>
      </c>
      <c r="B3461">
        <v>43655</v>
      </c>
    </row>
    <row r="3462" spans="1:2">
      <c r="A3462" s="1" t="s">
        <v>3893</v>
      </c>
      <c r="B3462">
        <v>43753</v>
      </c>
    </row>
    <row r="3463" spans="1:2">
      <c r="A3463" s="1" t="s">
        <v>86</v>
      </c>
      <c r="B3463">
        <v>43845</v>
      </c>
    </row>
    <row r="3464" spans="1:2">
      <c r="A3464" s="1" t="s">
        <v>182</v>
      </c>
      <c r="B3464">
        <v>43829</v>
      </c>
    </row>
    <row r="3465" spans="1:2">
      <c r="A3465" s="1" t="s">
        <v>3894</v>
      </c>
      <c r="B3465">
        <v>43889</v>
      </c>
    </row>
    <row r="3466" spans="1:2">
      <c r="A3466" s="1" t="s">
        <v>3895</v>
      </c>
      <c r="B3466">
        <v>43839</v>
      </c>
    </row>
    <row r="3467" spans="1:2">
      <c r="A3467" s="1" t="s">
        <v>3896</v>
      </c>
      <c r="B3467">
        <v>43777</v>
      </c>
    </row>
    <row r="3468" spans="1:2">
      <c r="A3468" s="1" t="s">
        <v>3897</v>
      </c>
      <c r="B3468">
        <v>43784</v>
      </c>
    </row>
    <row r="3469" spans="1:2">
      <c r="A3469" s="1" t="s">
        <v>3898</v>
      </c>
      <c r="B3469">
        <v>43791</v>
      </c>
    </row>
    <row r="3470" spans="1:2">
      <c r="A3470" s="1" t="s">
        <v>643</v>
      </c>
      <c r="B3470">
        <v>43783</v>
      </c>
    </row>
    <row r="3471" spans="1:2">
      <c r="A3471" s="1" t="s">
        <v>3899</v>
      </c>
      <c r="B3471">
        <v>43784</v>
      </c>
    </row>
    <row r="3472" spans="1:2">
      <c r="A3472" s="1" t="s">
        <v>3900</v>
      </c>
      <c r="B3472">
        <v>43791</v>
      </c>
    </row>
    <row r="3473" spans="1:2">
      <c r="A3473" s="1" t="s">
        <v>3901</v>
      </c>
      <c r="B3473">
        <v>43830</v>
      </c>
    </row>
    <row r="3474" spans="1:2">
      <c r="A3474" s="1" t="s">
        <v>3902</v>
      </c>
      <c r="B3474">
        <v>43804</v>
      </c>
    </row>
    <row r="3475" spans="1:2">
      <c r="A3475" s="1" t="s">
        <v>3903</v>
      </c>
      <c r="B3475">
        <v>43845</v>
      </c>
    </row>
    <row r="3476" spans="1:2">
      <c r="A3476" s="1" t="s">
        <v>3904</v>
      </c>
      <c r="B3476">
        <v>43825</v>
      </c>
    </row>
    <row r="3477" spans="1:2">
      <c r="A3477" s="1" t="s">
        <v>3905</v>
      </c>
      <c r="B3477">
        <v>43664</v>
      </c>
    </row>
    <row r="3478" spans="1:2">
      <c r="A3478" s="1" t="s">
        <v>3906</v>
      </c>
      <c r="B3478">
        <v>43763</v>
      </c>
    </row>
    <row r="3479" spans="1:2">
      <c r="A3479" s="1" t="s">
        <v>3907</v>
      </c>
      <c r="B3479">
        <v>43812</v>
      </c>
    </row>
    <row r="3480" spans="1:2">
      <c r="A3480" s="1" t="s">
        <v>3908</v>
      </c>
      <c r="B3480">
        <v>43816</v>
      </c>
    </row>
    <row r="3481" spans="1:2">
      <c r="A3481" s="1" t="s">
        <v>3909</v>
      </c>
      <c r="B3481">
        <v>43738</v>
      </c>
    </row>
    <row r="3482" spans="1:2">
      <c r="A3482" s="1" t="s">
        <v>3910</v>
      </c>
      <c r="B3482">
        <v>43798</v>
      </c>
    </row>
    <row r="3483" spans="1:2">
      <c r="A3483" s="1" t="s">
        <v>3911</v>
      </c>
      <c r="B3483">
        <v>43654</v>
      </c>
    </row>
    <row r="3484" spans="1:2">
      <c r="A3484" s="1" t="s">
        <v>3912</v>
      </c>
      <c r="B3484">
        <v>43798</v>
      </c>
    </row>
    <row r="3485" spans="1:2">
      <c r="A3485" s="1" t="s">
        <v>3913</v>
      </c>
      <c r="B3485">
        <v>43740</v>
      </c>
    </row>
    <row r="3486" spans="1:2">
      <c r="A3486" s="1" t="s">
        <v>3914</v>
      </c>
      <c r="B3486">
        <v>43803</v>
      </c>
    </row>
    <row r="3487" spans="1:2">
      <c r="A3487" s="1" t="s">
        <v>3915</v>
      </c>
      <c r="B3487">
        <v>43784</v>
      </c>
    </row>
    <row r="3488" spans="1:2">
      <c r="A3488" s="1" t="s">
        <v>3916</v>
      </c>
      <c r="B3488">
        <v>43845</v>
      </c>
    </row>
    <row r="3489" spans="1:2">
      <c r="A3489" s="1" t="s">
        <v>3917</v>
      </c>
      <c r="B3489">
        <v>43837</v>
      </c>
    </row>
    <row r="3490" spans="1:2">
      <c r="A3490" s="1" t="s">
        <v>3918</v>
      </c>
      <c r="B3490">
        <v>43812</v>
      </c>
    </row>
    <row r="3491" spans="1:2">
      <c r="A3491" s="1" t="s">
        <v>3919</v>
      </c>
      <c r="B3491">
        <v>43812</v>
      </c>
    </row>
    <row r="3492" spans="1:2">
      <c r="A3492" s="1" t="s">
        <v>3920</v>
      </c>
      <c r="B3492">
        <v>43830</v>
      </c>
    </row>
    <row r="3493" spans="1:2">
      <c r="A3493" s="1" t="s">
        <v>3921</v>
      </c>
      <c r="B3493">
        <v>43497</v>
      </c>
    </row>
    <row r="3494" spans="1:2">
      <c r="A3494" s="1" t="s">
        <v>3922</v>
      </c>
      <c r="B3494">
        <v>43791</v>
      </c>
    </row>
    <row r="3495" spans="1:2">
      <c r="A3495" s="1" t="s">
        <v>500</v>
      </c>
      <c r="B3495">
        <v>43861</v>
      </c>
    </row>
    <row r="3496" spans="1:2">
      <c r="A3496" s="1" t="s">
        <v>3923</v>
      </c>
      <c r="B3496">
        <v>43782</v>
      </c>
    </row>
    <row r="3497" spans="1:2">
      <c r="A3497" s="1" t="s">
        <v>108</v>
      </c>
      <c r="B3497">
        <v>43798</v>
      </c>
    </row>
    <row r="3498" spans="1:2">
      <c r="A3498" s="1" t="s">
        <v>3924</v>
      </c>
      <c r="B3498">
        <v>43816</v>
      </c>
    </row>
    <row r="3499" spans="1:2">
      <c r="A3499" s="1" t="s">
        <v>3925</v>
      </c>
      <c r="B3499">
        <v>43629</v>
      </c>
    </row>
    <row r="3500" spans="1:2">
      <c r="A3500" s="1" t="s">
        <v>3926</v>
      </c>
      <c r="B3500">
        <v>43741</v>
      </c>
    </row>
    <row r="3501" spans="1:2">
      <c r="A3501" s="1" t="s">
        <v>3927</v>
      </c>
      <c r="B3501">
        <v>43802</v>
      </c>
    </row>
    <row r="3502" spans="1:2">
      <c r="A3502" s="1" t="s">
        <v>3928</v>
      </c>
      <c r="B3502">
        <v>43817</v>
      </c>
    </row>
    <row r="3503" spans="1:2">
      <c r="A3503" s="1" t="s">
        <v>659</v>
      </c>
      <c r="B3503">
        <v>43825</v>
      </c>
    </row>
    <row r="3504" spans="1:2">
      <c r="A3504" s="1" t="s">
        <v>3929</v>
      </c>
      <c r="B3504">
        <v>43832</v>
      </c>
    </row>
    <row r="3505" spans="1:2">
      <c r="A3505" s="1" t="s">
        <v>3930</v>
      </c>
      <c r="B3505">
        <v>43734</v>
      </c>
    </row>
    <row r="3506" spans="1:2">
      <c r="A3506" s="1" t="s">
        <v>3931</v>
      </c>
      <c r="B3506">
        <v>43718</v>
      </c>
    </row>
    <row r="3507" spans="1:2">
      <c r="A3507" s="1" t="s">
        <v>3932</v>
      </c>
      <c r="B3507">
        <v>43818</v>
      </c>
    </row>
    <row r="3508" spans="1:2">
      <c r="A3508" s="1" t="s">
        <v>3933</v>
      </c>
      <c r="B3508">
        <v>43521</v>
      </c>
    </row>
    <row r="3509" spans="1:2">
      <c r="A3509" s="1" t="s">
        <v>3934</v>
      </c>
      <c r="B3509">
        <v>43819</v>
      </c>
    </row>
    <row r="3510" spans="1:2">
      <c r="A3510" s="1" t="s">
        <v>76</v>
      </c>
      <c r="B3510">
        <v>43784</v>
      </c>
    </row>
    <row r="3511" spans="1:2">
      <c r="A3511" s="1" t="s">
        <v>3935</v>
      </c>
      <c r="B3511">
        <v>43819</v>
      </c>
    </row>
    <row r="3512" spans="1:2">
      <c r="A3512" s="1" t="s">
        <v>3936</v>
      </c>
      <c r="B3512">
        <v>43742</v>
      </c>
    </row>
    <row r="3513" spans="1:2">
      <c r="A3513" s="1" t="s">
        <v>3937</v>
      </c>
      <c r="B3513">
        <v>43585</v>
      </c>
    </row>
    <row r="3514" spans="1:2">
      <c r="A3514" s="1" t="s">
        <v>3938</v>
      </c>
      <c r="B3514">
        <v>43805</v>
      </c>
    </row>
    <row r="3515" spans="1:2">
      <c r="A3515" s="1" t="s">
        <v>246</v>
      </c>
      <c r="B3515">
        <v>43809</v>
      </c>
    </row>
    <row r="3516" spans="1:2">
      <c r="A3516" s="1" t="s">
        <v>3939</v>
      </c>
      <c r="B3516">
        <v>43819</v>
      </c>
    </row>
    <row r="3517" spans="1:2">
      <c r="A3517" s="1" t="s">
        <v>3940</v>
      </c>
      <c r="B3517">
        <v>43819</v>
      </c>
    </row>
    <row r="3518" spans="1:2">
      <c r="A3518" s="1" t="s">
        <v>3941</v>
      </c>
      <c r="B3518">
        <v>43839</v>
      </c>
    </row>
    <row r="3519" spans="1:2">
      <c r="A3519" s="1" t="s">
        <v>3942</v>
      </c>
      <c r="B3519">
        <v>43850</v>
      </c>
    </row>
    <row r="3520" spans="1:2">
      <c r="A3520" s="1" t="s">
        <v>3943</v>
      </c>
      <c r="B3520">
        <v>43577</v>
      </c>
    </row>
    <row r="3521" spans="1:2">
      <c r="A3521" s="1" t="s">
        <v>3944</v>
      </c>
      <c r="B3521">
        <v>43818</v>
      </c>
    </row>
    <row r="3522" spans="1:2">
      <c r="A3522" s="1" t="s">
        <v>3945</v>
      </c>
      <c r="B3522">
        <v>43622</v>
      </c>
    </row>
    <row r="3523" spans="1:2">
      <c r="A3523" s="1" t="s">
        <v>3946</v>
      </c>
      <c r="B3523">
        <v>43819</v>
      </c>
    </row>
    <row r="3524" spans="1:2">
      <c r="A3524" s="1" t="s">
        <v>3947</v>
      </c>
      <c r="B3524">
        <v>43767</v>
      </c>
    </row>
    <row r="3525" spans="1:2">
      <c r="A3525" s="1" t="s">
        <v>3948</v>
      </c>
      <c r="B3525" t="s">
        <v>775</v>
      </c>
    </row>
    <row r="3526" spans="1:2">
      <c r="A3526" s="1" t="s">
        <v>225</v>
      </c>
      <c r="B3526">
        <v>43791</v>
      </c>
    </row>
    <row r="3527" spans="1:2">
      <c r="A3527" s="1" t="s">
        <v>3949</v>
      </c>
      <c r="B3527">
        <v>43798</v>
      </c>
    </row>
    <row r="3528" spans="1:2">
      <c r="A3528" s="1" t="s">
        <v>3950</v>
      </c>
      <c r="B3528">
        <v>43790</v>
      </c>
    </row>
    <row r="3529" spans="1:2">
      <c r="A3529" s="1" t="s">
        <v>607</v>
      </c>
      <c r="B3529">
        <v>43801</v>
      </c>
    </row>
    <row r="3530" spans="1:2">
      <c r="A3530" s="1" t="s">
        <v>56</v>
      </c>
      <c r="B3530">
        <v>43809</v>
      </c>
    </row>
    <row r="3531" spans="1:2">
      <c r="A3531" s="1" t="s">
        <v>3951</v>
      </c>
      <c r="B3531">
        <v>43759</v>
      </c>
    </row>
    <row r="3532" spans="1:2">
      <c r="A3532" s="1" t="s">
        <v>3952</v>
      </c>
      <c r="B3532">
        <v>43735</v>
      </c>
    </row>
    <row r="3533" spans="1:2">
      <c r="A3533" s="1" t="s">
        <v>175</v>
      </c>
      <c r="B3533">
        <v>43896</v>
      </c>
    </row>
    <row r="3534" spans="1:2">
      <c r="A3534" s="1" t="s">
        <v>3953</v>
      </c>
      <c r="B3534">
        <v>43805</v>
      </c>
    </row>
    <row r="3535" spans="1:2">
      <c r="A3535" s="1" t="s">
        <v>3954</v>
      </c>
      <c r="B3535">
        <v>43830</v>
      </c>
    </row>
    <row r="3536" spans="1:2">
      <c r="A3536" s="1" t="s">
        <v>191</v>
      </c>
      <c r="B3536">
        <v>43822</v>
      </c>
    </row>
    <row r="3537" spans="1:2">
      <c r="A3537" s="1" t="s">
        <v>3955</v>
      </c>
      <c r="B3537">
        <v>43790</v>
      </c>
    </row>
    <row r="3538" spans="1:2">
      <c r="A3538" s="1" t="s">
        <v>3956</v>
      </c>
      <c r="B3538">
        <v>43689</v>
      </c>
    </row>
    <row r="3539" spans="1:2">
      <c r="A3539" s="1" t="s">
        <v>3957</v>
      </c>
      <c r="B3539">
        <v>43735</v>
      </c>
    </row>
    <row r="3540" spans="1:2">
      <c r="A3540" s="1" t="s">
        <v>3958</v>
      </c>
      <c r="B3540" t="s">
        <v>775</v>
      </c>
    </row>
    <row r="3541" spans="1:2">
      <c r="A3541" s="1" t="s">
        <v>3959</v>
      </c>
      <c r="B3541">
        <v>43717</v>
      </c>
    </row>
    <row r="3542" spans="1:2">
      <c r="A3542" s="1" t="s">
        <v>3960</v>
      </c>
      <c r="B3542">
        <v>43742</v>
      </c>
    </row>
    <row r="3543" spans="1:2">
      <c r="A3543" s="1" t="s">
        <v>355</v>
      </c>
      <c r="B3543">
        <v>43862</v>
      </c>
    </row>
    <row r="3544" spans="1:2">
      <c r="A3544" s="1" t="s">
        <v>3961</v>
      </c>
      <c r="B3544">
        <v>43825</v>
      </c>
    </row>
    <row r="3545" spans="1:2">
      <c r="A3545" s="1" t="s">
        <v>537</v>
      </c>
      <c r="B3545">
        <v>43845</v>
      </c>
    </row>
    <row r="3546" spans="1:2">
      <c r="A3546" s="1" t="s">
        <v>3962</v>
      </c>
      <c r="B3546" t="s">
        <v>775</v>
      </c>
    </row>
    <row r="3547" spans="1:2">
      <c r="A3547" s="1" t="s">
        <v>717</v>
      </c>
      <c r="B3547">
        <v>43616</v>
      </c>
    </row>
    <row r="3548" spans="1:2">
      <c r="A3548" s="1" t="s">
        <v>3963</v>
      </c>
      <c r="B3548">
        <v>43644</v>
      </c>
    </row>
    <row r="3549" spans="1:2">
      <c r="A3549" s="1" t="s">
        <v>3964</v>
      </c>
      <c r="B3549">
        <v>43753</v>
      </c>
    </row>
    <row r="3550" spans="1:2">
      <c r="A3550" s="1" t="s">
        <v>3965</v>
      </c>
      <c r="B3550">
        <v>43833</v>
      </c>
    </row>
    <row r="3551" spans="1:2">
      <c r="A3551" s="1" t="s">
        <v>309</v>
      </c>
      <c r="B3551">
        <v>43845</v>
      </c>
    </row>
    <row r="3552" spans="1:2">
      <c r="A3552" s="1" t="s">
        <v>3966</v>
      </c>
      <c r="B3552">
        <v>43748</v>
      </c>
    </row>
    <row r="3553" spans="1:2">
      <c r="A3553" s="1" t="s">
        <v>113</v>
      </c>
      <c r="B3553">
        <v>43809</v>
      </c>
    </row>
    <row r="3554" spans="1:2">
      <c r="A3554" s="1" t="s">
        <v>3967</v>
      </c>
      <c r="B3554">
        <v>43591</v>
      </c>
    </row>
    <row r="3555" spans="1:2">
      <c r="A3555" s="1" t="s">
        <v>3968</v>
      </c>
      <c r="B3555">
        <v>43735</v>
      </c>
    </row>
    <row r="3556" spans="1:2">
      <c r="A3556" s="1" t="s">
        <v>487</v>
      </c>
      <c r="B3556">
        <v>43879</v>
      </c>
    </row>
    <row r="3557" spans="1:2">
      <c r="A3557" s="1" t="s">
        <v>3969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3970</v>
      </c>
      <c r="B3559">
        <v>43775</v>
      </c>
    </row>
    <row r="3560" spans="1:2">
      <c r="A3560" s="1" t="s">
        <v>3971</v>
      </c>
      <c r="B3560">
        <v>43724</v>
      </c>
    </row>
    <row r="3561" spans="1:2">
      <c r="A3561" s="1" t="s">
        <v>3972</v>
      </c>
      <c r="B3561">
        <v>43742</v>
      </c>
    </row>
    <row r="3562" spans="1:2">
      <c r="A3562" s="1" t="s">
        <v>3973</v>
      </c>
      <c r="B3562">
        <v>43781</v>
      </c>
    </row>
    <row r="3563" spans="1:2">
      <c r="A3563" s="1" t="s">
        <v>3974</v>
      </c>
      <c r="B3563">
        <v>43628</v>
      </c>
    </row>
    <row r="3564" spans="1:2">
      <c r="A3564" s="1" t="s">
        <v>213</v>
      </c>
      <c r="B3564">
        <v>43830</v>
      </c>
    </row>
    <row r="3565" spans="1:2">
      <c r="A3565" s="1" t="s">
        <v>3975</v>
      </c>
      <c r="B3565">
        <v>43815</v>
      </c>
    </row>
    <row r="3566" spans="1:2">
      <c r="A3566" s="1" t="s">
        <v>3976</v>
      </c>
      <c r="B3566">
        <v>43802</v>
      </c>
    </row>
    <row r="3567" spans="1:2">
      <c r="A3567" s="1" t="s">
        <v>3977</v>
      </c>
      <c r="B3567">
        <v>43803</v>
      </c>
    </row>
    <row r="3568" spans="1:2">
      <c r="A3568" s="1" t="s">
        <v>3978</v>
      </c>
      <c r="B3568">
        <v>43812</v>
      </c>
    </row>
    <row r="3569" spans="1:2">
      <c r="A3569" s="1" t="s">
        <v>3979</v>
      </c>
      <c r="B3569">
        <v>43875</v>
      </c>
    </row>
    <row r="3570" spans="1:2">
      <c r="A3570" s="1" t="s">
        <v>3980</v>
      </c>
      <c r="B3570">
        <v>43798</v>
      </c>
    </row>
    <row r="3571" spans="1:2">
      <c r="A3571" s="1" t="s">
        <v>3981</v>
      </c>
      <c r="B3571">
        <v>43830</v>
      </c>
    </row>
    <row r="3572" spans="1:2">
      <c r="A3572" s="1" t="s">
        <v>378</v>
      </c>
      <c r="B3572">
        <v>43791</v>
      </c>
    </row>
    <row r="3573" spans="1:2">
      <c r="A3573" s="1" t="s">
        <v>3982</v>
      </c>
      <c r="B3573">
        <v>43864</v>
      </c>
    </row>
    <row r="3574" spans="1:2">
      <c r="A3574" s="1" t="s">
        <v>3983</v>
      </c>
      <c r="B3574">
        <v>43776</v>
      </c>
    </row>
    <row r="3575" spans="1:2">
      <c r="A3575" s="1" t="s">
        <v>3984</v>
      </c>
      <c r="B3575">
        <v>43818</v>
      </c>
    </row>
    <row r="3576" spans="1:2">
      <c r="A3576" s="1" t="s">
        <v>3985</v>
      </c>
      <c r="B3576">
        <v>43822</v>
      </c>
    </row>
    <row r="3577" spans="1:2">
      <c r="A3577" s="1" t="s">
        <v>72</v>
      </c>
      <c r="B3577">
        <v>43790</v>
      </c>
    </row>
    <row r="3578" spans="1:2">
      <c r="A3578" s="1" t="s">
        <v>3986</v>
      </c>
      <c r="B3578">
        <v>43630</v>
      </c>
    </row>
    <row r="3579" spans="1:2">
      <c r="A3579" s="1" t="s">
        <v>3987</v>
      </c>
      <c r="B3579">
        <v>43784</v>
      </c>
    </row>
    <row r="3580" spans="1:2">
      <c r="A3580" s="1" t="s">
        <v>3988</v>
      </c>
      <c r="B3580">
        <v>43783</v>
      </c>
    </row>
    <row r="3581" spans="1:2">
      <c r="A3581" s="1" t="s">
        <v>3989</v>
      </c>
      <c r="B3581">
        <v>43628</v>
      </c>
    </row>
    <row r="3582" spans="1:2">
      <c r="A3582" s="1" t="s">
        <v>3990</v>
      </c>
      <c r="B3582">
        <v>43818</v>
      </c>
    </row>
    <row r="3583" spans="1:2">
      <c r="A3583" s="1" t="s">
        <v>407</v>
      </c>
      <c r="B3583">
        <v>43861</v>
      </c>
    </row>
    <row r="3584" spans="1:2">
      <c r="A3584" s="1" t="s">
        <v>3991</v>
      </c>
      <c r="B3584">
        <v>43613</v>
      </c>
    </row>
    <row r="3585" spans="1:2">
      <c r="A3585" s="1" t="s">
        <v>3992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3993</v>
      </c>
      <c r="B3587">
        <v>43832</v>
      </c>
    </row>
    <row r="3588" spans="1:2">
      <c r="A3588" s="1" t="s">
        <v>3994</v>
      </c>
      <c r="B3588">
        <v>43626</v>
      </c>
    </row>
    <row r="3589" spans="1:2">
      <c r="A3589" s="1" t="s">
        <v>3995</v>
      </c>
      <c r="B3589">
        <v>43830</v>
      </c>
    </row>
    <row r="3590" spans="1:2">
      <c r="A3590" s="1" t="s">
        <v>3996</v>
      </c>
      <c r="B3590">
        <v>43738</v>
      </c>
    </row>
    <row r="3591" spans="1:2">
      <c r="A3591" s="1" t="s">
        <v>3997</v>
      </c>
      <c r="B3591">
        <v>43791</v>
      </c>
    </row>
    <row r="3592" spans="1:2">
      <c r="A3592" s="1" t="s">
        <v>3998</v>
      </c>
      <c r="B3592">
        <v>43825</v>
      </c>
    </row>
    <row r="3593" spans="1:2">
      <c r="A3593" s="1" t="s">
        <v>3999</v>
      </c>
      <c r="B3593">
        <v>43776</v>
      </c>
    </row>
    <row r="3594" spans="1:2">
      <c r="A3594" s="1" t="s">
        <v>4000</v>
      </c>
      <c r="B3594">
        <v>43847</v>
      </c>
    </row>
    <row r="3595" spans="1:2">
      <c r="A3595" s="1" t="s">
        <v>403</v>
      </c>
      <c r="B3595">
        <v>43805</v>
      </c>
    </row>
    <row r="3596" spans="1:2">
      <c r="A3596" s="1" t="s">
        <v>4001</v>
      </c>
      <c r="B3596">
        <v>43655</v>
      </c>
    </row>
    <row r="3597" spans="1:2">
      <c r="A3597" s="1" t="s">
        <v>4002</v>
      </c>
      <c r="B3597">
        <v>43668</v>
      </c>
    </row>
    <row r="3598" spans="1:2">
      <c r="A3598" s="1" t="s">
        <v>4003</v>
      </c>
      <c r="B3598" t="s">
        <v>775</v>
      </c>
    </row>
    <row r="3599" spans="1:2">
      <c r="A3599" s="1" t="s">
        <v>4004</v>
      </c>
      <c r="B3599">
        <v>43819</v>
      </c>
    </row>
    <row r="3600" spans="1:2">
      <c r="A3600" s="1" t="s">
        <v>4005</v>
      </c>
      <c r="B3600">
        <v>43740</v>
      </c>
    </row>
    <row r="3601" spans="1:2">
      <c r="A3601" s="1" t="s">
        <v>4006</v>
      </c>
      <c r="B3601">
        <v>43814</v>
      </c>
    </row>
    <row r="3602" spans="1:2">
      <c r="A3602" s="1" t="s">
        <v>4007</v>
      </c>
      <c r="B3602">
        <v>43819</v>
      </c>
    </row>
    <row r="3603" spans="1:2">
      <c r="A3603" s="1" t="s">
        <v>4008</v>
      </c>
      <c r="B3603">
        <v>43814</v>
      </c>
    </row>
    <row r="3604" spans="1:2">
      <c r="A3604" s="1" t="s">
        <v>4009</v>
      </c>
      <c r="B3604">
        <v>43826</v>
      </c>
    </row>
    <row r="3605" spans="1:2">
      <c r="A3605" s="1" t="s">
        <v>245</v>
      </c>
      <c r="B3605">
        <v>43830</v>
      </c>
    </row>
    <row r="3606" spans="1:2">
      <c r="A3606" s="1" t="s">
        <v>4010</v>
      </c>
      <c r="B3606">
        <v>43740</v>
      </c>
    </row>
    <row r="3607" spans="1:2">
      <c r="A3607" s="1" t="s">
        <v>399</v>
      </c>
      <c r="B3607">
        <v>43800</v>
      </c>
    </row>
    <row r="3608" spans="1:2">
      <c r="A3608" s="1" t="s">
        <v>4011</v>
      </c>
      <c r="B3608">
        <v>43798</v>
      </c>
    </row>
    <row r="3609" spans="1:2">
      <c r="A3609" s="1" t="s">
        <v>4012</v>
      </c>
      <c r="B3609">
        <v>43753</v>
      </c>
    </row>
    <row r="3610" spans="1:2">
      <c r="A3610" s="1" t="s">
        <v>4013</v>
      </c>
      <c r="B3610">
        <v>43783</v>
      </c>
    </row>
    <row r="3611" spans="1:2">
      <c r="A3611" s="1" t="s">
        <v>4014</v>
      </c>
      <c r="B3611">
        <v>43738</v>
      </c>
    </row>
    <row r="3612" spans="1:2">
      <c r="A3612" s="1" t="s">
        <v>267</v>
      </c>
      <c r="B3612">
        <v>43831</v>
      </c>
    </row>
    <row r="3613" spans="1:2">
      <c r="A3613" s="1" t="s">
        <v>4015</v>
      </c>
      <c r="B3613">
        <v>43829</v>
      </c>
    </row>
    <row r="3614" spans="1:2">
      <c r="A3614" s="1" t="s">
        <v>4016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4017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4018</v>
      </c>
      <c r="B3618">
        <v>43830</v>
      </c>
    </row>
    <row r="3619" spans="1:2">
      <c r="A3619" s="1" t="s">
        <v>4019</v>
      </c>
      <c r="B3619">
        <v>43819</v>
      </c>
    </row>
    <row r="3620" spans="1:2">
      <c r="A3620" s="1" t="s">
        <v>4020</v>
      </c>
      <c r="B3620">
        <v>43804</v>
      </c>
    </row>
    <row r="3621" spans="1:2">
      <c r="A3621" s="1" t="s">
        <v>4021</v>
      </c>
      <c r="B3621">
        <v>43815</v>
      </c>
    </row>
    <row r="3622" spans="1:2">
      <c r="A3622" s="1" t="s">
        <v>4022</v>
      </c>
      <c r="B3622">
        <v>43831</v>
      </c>
    </row>
    <row r="3623" spans="1:2">
      <c r="A3623" s="1" t="s">
        <v>4023</v>
      </c>
      <c r="B3623" t="s">
        <v>775</v>
      </c>
    </row>
    <row r="3624" spans="1:2">
      <c r="A3624" s="1" t="s">
        <v>4024</v>
      </c>
      <c r="B3624">
        <v>43749</v>
      </c>
    </row>
    <row r="3625" spans="1:2">
      <c r="A3625" s="1" t="s">
        <v>4025</v>
      </c>
      <c r="B3625">
        <v>43815</v>
      </c>
    </row>
    <row r="3626" spans="1:2">
      <c r="A3626" s="1" t="s">
        <v>4026</v>
      </c>
      <c r="B3626">
        <v>43829</v>
      </c>
    </row>
    <row r="3627" spans="1:2">
      <c r="A3627" s="1" t="s">
        <v>420</v>
      </c>
      <c r="B3627">
        <v>43829</v>
      </c>
    </row>
    <row r="3628" spans="1:2">
      <c r="A3628" s="1" t="s">
        <v>4027</v>
      </c>
      <c r="B3628">
        <v>43804</v>
      </c>
    </row>
    <row r="3629" spans="1:2">
      <c r="A3629" s="1" t="s">
        <v>4028</v>
      </c>
      <c r="B3629">
        <v>43753</v>
      </c>
    </row>
    <row r="3630" spans="1:2">
      <c r="A3630" s="1" t="s">
        <v>4029</v>
      </c>
      <c r="B3630">
        <v>43741</v>
      </c>
    </row>
    <row r="3631" spans="1:2">
      <c r="A3631" s="1" t="s">
        <v>4030</v>
      </c>
      <c r="B3631">
        <v>43756</v>
      </c>
    </row>
    <row r="3632" spans="1:2">
      <c r="A3632" s="1" t="s">
        <v>4031</v>
      </c>
      <c r="B3632">
        <v>43798</v>
      </c>
    </row>
    <row r="3633" spans="1:2">
      <c r="A3633" s="1" t="s">
        <v>4032</v>
      </c>
      <c r="B3633" t="s">
        <v>775</v>
      </c>
    </row>
    <row r="3634" spans="1:2">
      <c r="A3634" s="1" t="s">
        <v>4033</v>
      </c>
      <c r="B3634">
        <v>43847</v>
      </c>
    </row>
    <row r="3635" spans="1:2">
      <c r="A3635" s="1" t="s">
        <v>4034</v>
      </c>
      <c r="B3635">
        <v>43733</v>
      </c>
    </row>
    <row r="3636" spans="1:2">
      <c r="A3636" s="1" t="s">
        <v>603</v>
      </c>
      <c r="B3636">
        <v>43840</v>
      </c>
    </row>
    <row r="3637" spans="1:2">
      <c r="A3637" s="1" t="s">
        <v>4035</v>
      </c>
      <c r="B3637">
        <v>43647</v>
      </c>
    </row>
    <row r="3638" spans="1:2">
      <c r="A3638" s="1" t="s">
        <v>4036</v>
      </c>
      <c r="B3638">
        <v>43830</v>
      </c>
    </row>
    <row r="3639" spans="1:2">
      <c r="A3639" s="1" t="s">
        <v>4037</v>
      </c>
      <c r="B3639">
        <v>43609</v>
      </c>
    </row>
    <row r="3640" spans="1:2">
      <c r="A3640" s="1" t="s">
        <v>4038</v>
      </c>
      <c r="B3640">
        <v>43762</v>
      </c>
    </row>
    <row r="3641" spans="1:2">
      <c r="A3641" s="1" t="s">
        <v>4039</v>
      </c>
      <c r="B3641">
        <v>43740</v>
      </c>
    </row>
    <row r="3642" spans="1:2">
      <c r="A3642" s="1" t="s">
        <v>4040</v>
      </c>
      <c r="B3642" t="s">
        <v>775</v>
      </c>
    </row>
    <row r="3643" spans="1:2">
      <c r="A3643" s="1" t="s">
        <v>4041</v>
      </c>
      <c r="B3643">
        <v>43826</v>
      </c>
    </row>
    <row r="3644" spans="1:2">
      <c r="A3644" s="1" t="s">
        <v>4042</v>
      </c>
      <c r="B3644" t="s">
        <v>775</v>
      </c>
    </row>
    <row r="3645" spans="1:2">
      <c r="A3645" s="1" t="s">
        <v>4043</v>
      </c>
      <c r="B3645">
        <v>43819</v>
      </c>
    </row>
    <row r="3646" spans="1:2">
      <c r="A3646" s="1" t="s">
        <v>4044</v>
      </c>
      <c r="B3646">
        <v>43803</v>
      </c>
    </row>
    <row r="3647" spans="1:2">
      <c r="A3647" s="1" t="s">
        <v>4045</v>
      </c>
      <c r="B3647">
        <v>43731</v>
      </c>
    </row>
    <row r="3648" spans="1:2">
      <c r="A3648" s="1" t="s">
        <v>4046</v>
      </c>
      <c r="B3648">
        <v>43749</v>
      </c>
    </row>
    <row r="3649" spans="1:2">
      <c r="A3649" s="1" t="s">
        <v>4047</v>
      </c>
      <c r="B3649">
        <v>43795</v>
      </c>
    </row>
    <row r="3650" spans="1:2">
      <c r="A3650" s="1" t="s">
        <v>4048</v>
      </c>
      <c r="B3650">
        <v>43830</v>
      </c>
    </row>
    <row r="3651" spans="1:2">
      <c r="A3651" s="1" t="s">
        <v>288</v>
      </c>
      <c r="B3651">
        <v>43850</v>
      </c>
    </row>
    <row r="3652" spans="1:2">
      <c r="A3652" s="1" t="s">
        <v>4049</v>
      </c>
      <c r="B3652">
        <v>43830</v>
      </c>
    </row>
    <row r="3653" spans="1:2">
      <c r="A3653" s="1" t="s">
        <v>4050</v>
      </c>
      <c r="B3653">
        <v>43817</v>
      </c>
    </row>
    <row r="3654" spans="1:2">
      <c r="A3654" s="1" t="s">
        <v>4051</v>
      </c>
      <c r="B3654">
        <v>43825</v>
      </c>
    </row>
    <row r="3655" spans="1:2">
      <c r="A3655" s="1" t="s">
        <v>228</v>
      </c>
      <c r="B3655">
        <v>43832</v>
      </c>
    </row>
    <row r="3656" spans="1:2">
      <c r="A3656" s="1" t="s">
        <v>4052</v>
      </c>
      <c r="B3656">
        <v>43852</v>
      </c>
    </row>
    <row r="3657" spans="1:2">
      <c r="A3657" s="1" t="s">
        <v>4053</v>
      </c>
      <c r="B3657">
        <v>43748</v>
      </c>
    </row>
    <row r="3658" spans="1:2">
      <c r="A3658" s="1" t="s">
        <v>4054</v>
      </c>
      <c r="B3658">
        <v>43830</v>
      </c>
    </row>
    <row r="3659" spans="1:2">
      <c r="A3659" s="1" t="s">
        <v>4055</v>
      </c>
      <c r="B3659">
        <v>43689</v>
      </c>
    </row>
    <row r="3660" spans="1:2">
      <c r="A3660" s="1" t="s">
        <v>4056</v>
      </c>
      <c r="B3660">
        <v>43819</v>
      </c>
    </row>
    <row r="3661" spans="1:2">
      <c r="A3661" s="1" t="s">
        <v>4057</v>
      </c>
      <c r="B3661">
        <v>43798</v>
      </c>
    </row>
    <row r="3662" spans="1:2">
      <c r="A3662" s="1" t="s">
        <v>292</v>
      </c>
      <c r="B3662">
        <v>43815</v>
      </c>
    </row>
    <row r="3663" spans="1:2">
      <c r="A3663" s="1" t="s">
        <v>4058</v>
      </c>
      <c r="B3663">
        <v>43738</v>
      </c>
    </row>
    <row r="3664" spans="1:2">
      <c r="A3664" s="1" t="s">
        <v>4059</v>
      </c>
      <c r="B3664">
        <v>43854</v>
      </c>
    </row>
    <row r="3665" spans="1:2">
      <c r="A3665" s="1" t="s">
        <v>4060</v>
      </c>
      <c r="B3665">
        <v>43614</v>
      </c>
    </row>
    <row r="3666" spans="1:2">
      <c r="A3666" s="1" t="s">
        <v>4061</v>
      </c>
      <c r="B3666">
        <v>43780</v>
      </c>
    </row>
    <row r="3667" spans="1:2">
      <c r="A3667" s="1" t="s">
        <v>4062</v>
      </c>
      <c r="B3667">
        <v>43615</v>
      </c>
    </row>
    <row r="3668" spans="1:2">
      <c r="A3668" s="1" t="s">
        <v>4063</v>
      </c>
      <c r="B3668">
        <v>43844</v>
      </c>
    </row>
    <row r="3669" spans="1:2">
      <c r="A3669" s="1" t="s">
        <v>4064</v>
      </c>
      <c r="B3669">
        <v>43798</v>
      </c>
    </row>
    <row r="3670" spans="1:2">
      <c r="A3670" s="1" t="s">
        <v>4065</v>
      </c>
      <c r="B3670">
        <v>43738</v>
      </c>
    </row>
    <row r="3671" spans="1:2">
      <c r="A3671" s="1" t="s">
        <v>4066</v>
      </c>
      <c r="B3671">
        <v>43829</v>
      </c>
    </row>
    <row r="3672" spans="1:2">
      <c r="A3672" s="1" t="s">
        <v>4067</v>
      </c>
      <c r="B3672">
        <v>43794</v>
      </c>
    </row>
    <row r="3673" spans="1:2">
      <c r="A3673" s="1" t="s">
        <v>4068</v>
      </c>
      <c r="B3673">
        <v>43825</v>
      </c>
    </row>
    <row r="3674" spans="1:2">
      <c r="A3674" s="1" t="s">
        <v>4069</v>
      </c>
      <c r="B3674">
        <v>43815</v>
      </c>
    </row>
    <row r="3675" spans="1:2">
      <c r="A3675" s="1" t="s">
        <v>4070</v>
      </c>
      <c r="B3675">
        <v>43798</v>
      </c>
    </row>
    <row r="3676" spans="1:2">
      <c r="A3676" s="1" t="s">
        <v>4071</v>
      </c>
      <c r="B3676">
        <v>43789</v>
      </c>
    </row>
    <row r="3677" spans="1:2">
      <c r="A3677" s="1" t="s">
        <v>4072</v>
      </c>
      <c r="B3677">
        <v>43800</v>
      </c>
    </row>
    <row r="3678" spans="1:2">
      <c r="A3678" s="1" t="s">
        <v>4073</v>
      </c>
      <c r="B3678">
        <v>43819</v>
      </c>
    </row>
    <row r="3679" spans="1:2">
      <c r="A3679" s="1" t="s">
        <v>4074</v>
      </c>
      <c r="B3679">
        <v>43738</v>
      </c>
    </row>
    <row r="3680" spans="1:2">
      <c r="A3680" s="1" t="s">
        <v>4075</v>
      </c>
      <c r="B3680">
        <v>43812</v>
      </c>
    </row>
    <row r="3681" spans="1:2">
      <c r="A3681" s="1" t="s">
        <v>4076</v>
      </c>
      <c r="B3681">
        <v>43773</v>
      </c>
    </row>
    <row r="3682" spans="1:2">
      <c r="A3682" s="1" t="s">
        <v>4077</v>
      </c>
      <c r="B3682">
        <v>43819</v>
      </c>
    </row>
    <row r="3683" spans="1:2">
      <c r="A3683" s="1" t="s">
        <v>4078</v>
      </c>
      <c r="B3683" t="s">
        <v>775</v>
      </c>
    </row>
    <row r="3684" spans="1:2">
      <c r="A3684" s="1" t="s">
        <v>4079</v>
      </c>
      <c r="B3684">
        <v>43804</v>
      </c>
    </row>
    <row r="3685" spans="1:2">
      <c r="A3685" s="1" t="s">
        <v>4080</v>
      </c>
      <c r="B3685">
        <v>43789</v>
      </c>
    </row>
    <row r="3686" spans="1:2">
      <c r="A3686" s="1" t="s">
        <v>4081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4082</v>
      </c>
      <c r="B3688">
        <v>43717</v>
      </c>
    </row>
    <row r="3689" spans="1:2">
      <c r="A3689" s="1" t="s">
        <v>4083</v>
      </c>
      <c r="B3689">
        <v>43798</v>
      </c>
    </row>
    <row r="3690" spans="1:2">
      <c r="A3690" s="1" t="s">
        <v>4084</v>
      </c>
      <c r="B3690">
        <v>43804</v>
      </c>
    </row>
    <row r="3691" spans="1:2">
      <c r="A3691" s="1" t="s">
        <v>75</v>
      </c>
      <c r="B3691">
        <v>43784</v>
      </c>
    </row>
    <row r="3692" spans="1:2">
      <c r="A3692" s="1" t="s">
        <v>4085</v>
      </c>
      <c r="B3692">
        <v>43733</v>
      </c>
    </row>
    <row r="3693" spans="1:2">
      <c r="A3693" s="1" t="s">
        <v>4086</v>
      </c>
      <c r="B3693">
        <v>43822</v>
      </c>
    </row>
    <row r="3694" spans="1:2">
      <c r="A3694" s="1" t="s">
        <v>4087</v>
      </c>
      <c r="B3694">
        <v>43798</v>
      </c>
    </row>
    <row r="3695" spans="1:2">
      <c r="A3695" s="1" t="s">
        <v>4088</v>
      </c>
      <c r="B3695">
        <v>43815</v>
      </c>
    </row>
    <row r="3696" spans="1:2">
      <c r="A3696" s="1" t="s">
        <v>444</v>
      </c>
      <c r="B3696">
        <v>43746</v>
      </c>
    </row>
    <row r="3697" spans="1:2">
      <c r="A3697" s="1" t="s">
        <v>4089</v>
      </c>
      <c r="B3697">
        <v>43745</v>
      </c>
    </row>
    <row r="3698" spans="1:2">
      <c r="A3698" s="1" t="s">
        <v>250</v>
      </c>
      <c r="B3698">
        <v>43809</v>
      </c>
    </row>
    <row r="3699" spans="1:2">
      <c r="A3699" s="1" t="s">
        <v>4090</v>
      </c>
      <c r="B3699">
        <v>43735</v>
      </c>
    </row>
    <row r="3700" spans="1:2">
      <c r="A3700" s="1" t="s">
        <v>4091</v>
      </c>
      <c r="B3700">
        <v>43815</v>
      </c>
    </row>
    <row r="3701" spans="1:2">
      <c r="A3701" s="1" t="s">
        <v>4092</v>
      </c>
      <c r="B3701">
        <v>43818</v>
      </c>
    </row>
    <row r="3702" spans="1:2">
      <c r="A3702" s="1" t="s">
        <v>4093</v>
      </c>
      <c r="B3702">
        <v>43810</v>
      </c>
    </row>
    <row r="3703" spans="1:2">
      <c r="A3703" s="1" t="s">
        <v>4094</v>
      </c>
      <c r="B3703" t="s">
        <v>775</v>
      </c>
    </row>
    <row r="3704" spans="1:2">
      <c r="A3704" s="1" t="s">
        <v>4095</v>
      </c>
      <c r="B3704" t="s">
        <v>775</v>
      </c>
    </row>
    <row r="3705" spans="1:2">
      <c r="A3705" s="1" t="s">
        <v>4096</v>
      </c>
      <c r="B3705">
        <v>43819</v>
      </c>
    </row>
    <row r="3706" spans="1:2">
      <c r="A3706" s="1" t="s">
        <v>4097</v>
      </c>
      <c r="B3706" t="s">
        <v>775</v>
      </c>
    </row>
    <row r="3707" spans="1:2">
      <c r="A3707" s="1" t="s">
        <v>4098</v>
      </c>
      <c r="B3707">
        <v>43819</v>
      </c>
    </row>
    <row r="3708" spans="1:2">
      <c r="A3708" s="1" t="s">
        <v>4099</v>
      </c>
      <c r="B3708">
        <v>43738</v>
      </c>
    </row>
    <row r="3709" spans="1:2">
      <c r="A3709" s="1" t="s">
        <v>4100</v>
      </c>
      <c r="B3709">
        <v>43739</v>
      </c>
    </row>
    <row r="3710" spans="1:2">
      <c r="A3710" s="1" t="s">
        <v>4101</v>
      </c>
      <c r="B3710">
        <v>43823</v>
      </c>
    </row>
    <row r="3711" spans="1:2">
      <c r="A3711" s="1" t="s">
        <v>4102</v>
      </c>
      <c r="B3711">
        <v>43616</v>
      </c>
    </row>
    <row r="3712" spans="1:2">
      <c r="A3712" s="1" t="s">
        <v>4103</v>
      </c>
      <c r="B3712">
        <v>43819</v>
      </c>
    </row>
    <row r="3713" spans="1:2">
      <c r="A3713" s="1" t="s">
        <v>4104</v>
      </c>
      <c r="B3713">
        <v>43811</v>
      </c>
    </row>
    <row r="3714" spans="1:2">
      <c r="A3714" s="1" t="s">
        <v>4105</v>
      </c>
      <c r="B3714">
        <v>43839</v>
      </c>
    </row>
    <row r="3715" spans="1:2">
      <c r="A3715" s="1" t="s">
        <v>4106</v>
      </c>
      <c r="B3715">
        <v>43633</v>
      </c>
    </row>
    <row r="3716" spans="1:2">
      <c r="A3716" s="1" t="s">
        <v>4107</v>
      </c>
      <c r="B3716">
        <v>43738</v>
      </c>
    </row>
    <row r="3717" spans="1:2">
      <c r="A3717" s="1" t="s">
        <v>4108</v>
      </c>
      <c r="B3717">
        <v>43802</v>
      </c>
    </row>
    <row r="3718" spans="1:2">
      <c r="A3718" s="1" t="s">
        <v>4109</v>
      </c>
      <c r="B3718">
        <v>43812</v>
      </c>
    </row>
    <row r="3719" spans="1:2">
      <c r="A3719" s="1" t="s">
        <v>217</v>
      </c>
      <c r="B3719">
        <v>43818</v>
      </c>
    </row>
    <row r="3720" spans="1:2">
      <c r="A3720" s="1" t="s">
        <v>4110</v>
      </c>
      <c r="B3720">
        <v>43739</v>
      </c>
    </row>
    <row r="3721" spans="1:2">
      <c r="A3721" s="1" t="s">
        <v>4111</v>
      </c>
      <c r="B3721">
        <v>43798</v>
      </c>
    </row>
    <row r="3722" spans="1:2">
      <c r="A3722" s="1" t="s">
        <v>4112</v>
      </c>
      <c r="B3722">
        <v>43738</v>
      </c>
    </row>
    <row r="3723" spans="1:2">
      <c r="A3723" s="1" t="s">
        <v>4113</v>
      </c>
      <c r="B3723">
        <v>43829</v>
      </c>
    </row>
    <row r="3724" spans="1:2">
      <c r="A3724" s="1" t="s">
        <v>4114</v>
      </c>
      <c r="B3724">
        <v>43745</v>
      </c>
    </row>
    <row r="3725" spans="1:2">
      <c r="A3725" s="1" t="s">
        <v>4115</v>
      </c>
      <c r="B3725">
        <v>43465</v>
      </c>
    </row>
    <row r="3726" spans="1:2">
      <c r="A3726" s="1" t="s">
        <v>4116</v>
      </c>
      <c r="B3726">
        <v>43840</v>
      </c>
    </row>
    <row r="3727" spans="1:2">
      <c r="A3727" s="1" t="s">
        <v>4117</v>
      </c>
      <c r="B3727">
        <v>43735</v>
      </c>
    </row>
    <row r="3728" spans="1:2">
      <c r="A3728" s="1" t="s">
        <v>4118</v>
      </c>
      <c r="B3728">
        <v>43805</v>
      </c>
    </row>
    <row r="3729" spans="1:2">
      <c r="A3729" s="1" t="s">
        <v>4046</v>
      </c>
      <c r="B3729">
        <v>43840</v>
      </c>
    </row>
    <row r="3730" spans="1:2">
      <c r="A3730" s="1" t="s">
        <v>4119</v>
      </c>
      <c r="B3730">
        <v>43801</v>
      </c>
    </row>
    <row r="3731" spans="1:2">
      <c r="A3731" s="1" t="s">
        <v>4120</v>
      </c>
      <c r="B3731">
        <v>43819</v>
      </c>
    </row>
    <row r="3732" spans="1:2">
      <c r="A3732" s="1" t="s">
        <v>4121</v>
      </c>
      <c r="B3732">
        <v>43809</v>
      </c>
    </row>
    <row r="3733" spans="1:2">
      <c r="A3733" s="1" t="s">
        <v>4122</v>
      </c>
      <c r="B3733">
        <v>43830</v>
      </c>
    </row>
    <row r="3734" spans="1:2">
      <c r="A3734" s="1" t="s">
        <v>4123</v>
      </c>
      <c r="B3734">
        <v>43896</v>
      </c>
    </row>
    <row r="3735" spans="1:2">
      <c r="A3735" s="1" t="s">
        <v>4124</v>
      </c>
      <c r="B3735">
        <v>43790</v>
      </c>
    </row>
    <row r="3736" spans="1:2">
      <c r="A3736" s="1" t="s">
        <v>4125</v>
      </c>
      <c r="B3736">
        <v>43801</v>
      </c>
    </row>
    <row r="3737" spans="1:2">
      <c r="A3737" s="1" t="s">
        <v>4126</v>
      </c>
      <c r="B3737">
        <v>43689</v>
      </c>
    </row>
    <row r="3738" spans="1:2">
      <c r="A3738" s="1" t="s">
        <v>4127</v>
      </c>
      <c r="B3738">
        <v>43686</v>
      </c>
    </row>
    <row r="3739" spans="1:2">
      <c r="A3739" s="1" t="s">
        <v>4128</v>
      </c>
      <c r="B3739">
        <v>43819</v>
      </c>
    </row>
    <row r="3740" spans="1:2">
      <c r="A3740" s="1" t="s">
        <v>4129</v>
      </c>
      <c r="B3740">
        <v>43811</v>
      </c>
    </row>
    <row r="3741" spans="1:2">
      <c r="A3741" s="1" t="s">
        <v>4130</v>
      </c>
      <c r="B3741">
        <v>43829</v>
      </c>
    </row>
    <row r="3742" spans="1:2">
      <c r="A3742" s="1" t="s">
        <v>4131</v>
      </c>
      <c r="B3742">
        <v>43825</v>
      </c>
    </row>
    <row r="3743" spans="1:2">
      <c r="A3743" s="1" t="s">
        <v>4132</v>
      </c>
      <c r="B3743">
        <v>43864</v>
      </c>
    </row>
    <row r="3744" spans="1:2">
      <c r="A3744" s="1" t="s">
        <v>4133</v>
      </c>
      <c r="B3744">
        <v>43756</v>
      </c>
    </row>
    <row r="3745" spans="1:2">
      <c r="A3745" s="1" t="s">
        <v>4134</v>
      </c>
      <c r="B3745">
        <v>43796</v>
      </c>
    </row>
    <row r="3746" spans="1:2">
      <c r="A3746" s="1" t="s">
        <v>4135</v>
      </c>
      <c r="B3746">
        <v>43796</v>
      </c>
    </row>
    <row r="3747" spans="1:2">
      <c r="A3747" s="1" t="s">
        <v>4136</v>
      </c>
      <c r="B3747">
        <v>43819</v>
      </c>
    </row>
    <row r="3748" spans="1:2">
      <c r="A3748" s="1" t="s">
        <v>4137</v>
      </c>
      <c r="B3748">
        <v>43819</v>
      </c>
    </row>
    <row r="3749" spans="1:2">
      <c r="A3749" s="1" t="s">
        <v>4138</v>
      </c>
      <c r="B3749">
        <v>43812</v>
      </c>
    </row>
    <row r="3750" spans="1:2">
      <c r="A3750" s="1" t="s">
        <v>4139</v>
      </c>
      <c r="B3750">
        <v>43830</v>
      </c>
    </row>
    <row r="3751" spans="1:2">
      <c r="A3751" s="1" t="s">
        <v>4140</v>
      </c>
      <c r="B3751">
        <v>43809</v>
      </c>
    </row>
    <row r="3752" spans="1:2">
      <c r="A3752" s="1" t="s">
        <v>4141</v>
      </c>
      <c r="B3752">
        <v>43861</v>
      </c>
    </row>
    <row r="3753" spans="1:2">
      <c r="A3753" s="1" t="s">
        <v>4142</v>
      </c>
      <c r="B3753">
        <v>43825</v>
      </c>
    </row>
    <row r="3754" spans="1:2">
      <c r="A3754" s="1" t="s">
        <v>4143</v>
      </c>
      <c r="B3754">
        <v>43825</v>
      </c>
    </row>
    <row r="3755" spans="1:2">
      <c r="A3755" s="1" t="s">
        <v>134</v>
      </c>
      <c r="B3755">
        <v>43829</v>
      </c>
    </row>
    <row r="3756" spans="1:2">
      <c r="A3756" s="1" t="s">
        <v>4144</v>
      </c>
      <c r="B3756">
        <v>43810</v>
      </c>
    </row>
    <row r="3757" spans="1:2">
      <c r="A3757" s="1" t="s">
        <v>4145</v>
      </c>
      <c r="B3757" t="s">
        <v>775</v>
      </c>
    </row>
    <row r="3758" spans="1:2">
      <c r="A3758" s="1" t="s">
        <v>4146</v>
      </c>
      <c r="B3758">
        <v>43474</v>
      </c>
    </row>
    <row r="3759" spans="1:2">
      <c r="A3759" s="1" t="s">
        <v>4147</v>
      </c>
      <c r="B3759">
        <v>43728</v>
      </c>
    </row>
    <row r="3760" spans="1:2">
      <c r="A3760" s="1" t="s">
        <v>4148</v>
      </c>
      <c r="B3760">
        <v>43798</v>
      </c>
    </row>
    <row r="3761" spans="1:2">
      <c r="A3761" s="1" t="s">
        <v>4149</v>
      </c>
      <c r="B3761" t="s">
        <v>775</v>
      </c>
    </row>
    <row r="3762" spans="1:2">
      <c r="A3762" s="1" t="s">
        <v>4150</v>
      </c>
      <c r="B3762" t="s">
        <v>775</v>
      </c>
    </row>
    <row r="3763" spans="1:2">
      <c r="A3763" s="1" t="s">
        <v>4151</v>
      </c>
      <c r="B3763" t="s">
        <v>775</v>
      </c>
    </row>
    <row r="3764" spans="1:2">
      <c r="A3764" s="1" t="s">
        <v>4152</v>
      </c>
      <c r="B3764">
        <v>43733</v>
      </c>
    </row>
    <row r="3765" spans="1:2">
      <c r="A3765" s="1" t="s">
        <v>4153</v>
      </c>
      <c r="B3765">
        <v>43825</v>
      </c>
    </row>
    <row r="3766" spans="1:2">
      <c r="A3766" s="1" t="s">
        <v>4154</v>
      </c>
      <c r="B3766">
        <v>43815</v>
      </c>
    </row>
    <row r="3767" spans="1:2">
      <c r="A3767" s="1" t="s">
        <v>4155</v>
      </c>
      <c r="B3767">
        <v>43830</v>
      </c>
    </row>
    <row r="3768" spans="1:2">
      <c r="A3768" s="1" t="s">
        <v>4156</v>
      </c>
      <c r="B3768">
        <v>43805</v>
      </c>
    </row>
    <row r="3769" spans="1:2">
      <c r="A3769" s="1" t="s">
        <v>4157</v>
      </c>
      <c r="B3769">
        <v>43738</v>
      </c>
    </row>
    <row r="3770" spans="1:2">
      <c r="A3770" s="1" t="s">
        <v>4158</v>
      </c>
      <c r="B3770">
        <v>43740</v>
      </c>
    </row>
    <row r="3771" spans="1:2">
      <c r="A3771" s="1" t="s">
        <v>4159</v>
      </c>
      <c r="B3771">
        <v>43816</v>
      </c>
    </row>
    <row r="3772" spans="1:2">
      <c r="A3772" s="1" t="s">
        <v>4160</v>
      </c>
      <c r="B3772">
        <v>43830</v>
      </c>
    </row>
    <row r="3773" spans="1:2">
      <c r="A3773" s="1" t="s">
        <v>4161</v>
      </c>
      <c r="B3773">
        <v>43815</v>
      </c>
    </row>
    <row r="3774" spans="1:2">
      <c r="A3774" s="1" t="s">
        <v>4162</v>
      </c>
      <c r="B3774">
        <v>43836</v>
      </c>
    </row>
    <row r="3775" spans="1:2">
      <c r="A3775" s="1" t="s">
        <v>4163</v>
      </c>
      <c r="B3775">
        <v>43819</v>
      </c>
    </row>
    <row r="3776" spans="1:2">
      <c r="A3776" s="1" t="s">
        <v>4164</v>
      </c>
      <c r="B3776">
        <v>43796</v>
      </c>
    </row>
    <row r="3777" spans="1:2">
      <c r="A3777" s="1" t="s">
        <v>4165</v>
      </c>
      <c r="B3777">
        <v>43738</v>
      </c>
    </row>
    <row r="3778" spans="1:2">
      <c r="A3778" s="1" t="s">
        <v>4166</v>
      </c>
      <c r="B3778">
        <v>43802</v>
      </c>
    </row>
    <row r="3779" spans="1:2">
      <c r="A3779" s="1" t="s">
        <v>290</v>
      </c>
      <c r="B3779">
        <v>43837</v>
      </c>
    </row>
    <row r="3780" spans="1:2">
      <c r="A3780" s="1" t="s">
        <v>4167</v>
      </c>
      <c r="B3780">
        <v>43461</v>
      </c>
    </row>
    <row r="3781" spans="1:2">
      <c r="A3781" s="1" t="s">
        <v>4168</v>
      </c>
      <c r="B3781">
        <v>43811</v>
      </c>
    </row>
    <row r="3782" spans="1:2">
      <c r="A3782" s="1" t="s">
        <v>4169</v>
      </c>
      <c r="B3782">
        <v>43830</v>
      </c>
    </row>
    <row r="3783" spans="1:2">
      <c r="A3783" s="1" t="s">
        <v>4170</v>
      </c>
      <c r="B3783">
        <v>43788</v>
      </c>
    </row>
    <row r="3784" spans="1:2">
      <c r="A3784" s="1" t="s">
        <v>4171</v>
      </c>
      <c r="B3784">
        <v>43742</v>
      </c>
    </row>
    <row r="3785" spans="1:2">
      <c r="A3785" s="1" t="s">
        <v>4172</v>
      </c>
      <c r="B3785">
        <v>43749</v>
      </c>
    </row>
    <row r="3786" spans="1:2">
      <c r="A3786" s="1" t="s">
        <v>4173</v>
      </c>
      <c r="B3786">
        <v>43606</v>
      </c>
    </row>
    <row r="3787" spans="1:2">
      <c r="A3787" s="1" t="s">
        <v>4174</v>
      </c>
      <c r="B3787">
        <v>43794</v>
      </c>
    </row>
    <row r="3788" spans="1:2">
      <c r="A3788" s="1" t="s">
        <v>4175</v>
      </c>
      <c r="B3788">
        <v>43774</v>
      </c>
    </row>
    <row r="3789" spans="1:2">
      <c r="A3789" s="1" t="s">
        <v>4176</v>
      </c>
      <c r="B3789">
        <v>43609</v>
      </c>
    </row>
    <row r="3790" spans="1:2">
      <c r="A3790" s="1" t="s">
        <v>4177</v>
      </c>
      <c r="B3790">
        <v>43739</v>
      </c>
    </row>
    <row r="3791" spans="1:2">
      <c r="A3791" s="1" t="s">
        <v>278</v>
      </c>
      <c r="B3791">
        <v>43507</v>
      </c>
    </row>
    <row r="3792" spans="1:2">
      <c r="A3792" s="1" t="s">
        <v>4178</v>
      </c>
      <c r="B3792">
        <v>43816</v>
      </c>
    </row>
    <row r="3793" spans="1:2">
      <c r="A3793" s="1" t="s">
        <v>4179</v>
      </c>
      <c r="B3793">
        <v>43816</v>
      </c>
    </row>
    <row r="3794" spans="1:2">
      <c r="A3794" s="1" t="s">
        <v>405</v>
      </c>
      <c r="B3794">
        <v>43777</v>
      </c>
    </row>
    <row r="3795" spans="1:2">
      <c r="A3795" s="1" t="s">
        <v>4180</v>
      </c>
      <c r="B3795">
        <v>43738</v>
      </c>
    </row>
    <row r="3796" spans="1:2">
      <c r="A3796" s="1" t="s">
        <v>4181</v>
      </c>
      <c r="B3796">
        <v>43865</v>
      </c>
    </row>
    <row r="3797" spans="1:2">
      <c r="A3797" s="1" t="s">
        <v>45</v>
      </c>
      <c r="B3797">
        <v>43815</v>
      </c>
    </row>
    <row r="3798" spans="1:2">
      <c r="A3798" s="1" t="s">
        <v>4182</v>
      </c>
      <c r="B3798">
        <v>43801</v>
      </c>
    </row>
    <row r="3799" spans="1:2">
      <c r="A3799" s="1" t="s">
        <v>4183</v>
      </c>
      <c r="B3799">
        <v>43738</v>
      </c>
    </row>
    <row r="3800" spans="1:2">
      <c r="A3800" s="1" t="s">
        <v>573</v>
      </c>
      <c r="B3800">
        <v>43830</v>
      </c>
    </row>
    <row r="3801" spans="1:2">
      <c r="A3801" s="1" t="s">
        <v>4184</v>
      </c>
      <c r="B3801">
        <v>43818</v>
      </c>
    </row>
    <row r="3802" spans="1:2">
      <c r="A3802" s="1" t="s">
        <v>4185</v>
      </c>
      <c r="B3802" t="s">
        <v>775</v>
      </c>
    </row>
    <row r="3803" spans="1:2">
      <c r="A3803" s="1" t="s">
        <v>4186</v>
      </c>
      <c r="B3803">
        <v>43816</v>
      </c>
    </row>
    <row r="3804" spans="1:2">
      <c r="A3804" s="1" t="s">
        <v>4187</v>
      </c>
      <c r="B3804">
        <v>43805</v>
      </c>
    </row>
    <row r="3805" spans="1:2">
      <c r="A3805" s="1" t="s">
        <v>4188</v>
      </c>
      <c r="B3805">
        <v>43830</v>
      </c>
    </row>
    <row r="3806" spans="1:2">
      <c r="A3806" s="1" t="s">
        <v>4189</v>
      </c>
      <c r="B3806">
        <v>43735</v>
      </c>
    </row>
    <row r="3807" spans="1:2">
      <c r="A3807" s="1" t="s">
        <v>4190</v>
      </c>
      <c r="B3807">
        <v>43812</v>
      </c>
    </row>
    <row r="3808" spans="1:2">
      <c r="A3808" s="1" t="s">
        <v>4191</v>
      </c>
      <c r="B3808">
        <v>43819</v>
      </c>
    </row>
    <row r="3809" spans="1:2">
      <c r="A3809" s="1" t="s">
        <v>4192</v>
      </c>
      <c r="B3809">
        <v>43826</v>
      </c>
    </row>
    <row r="3810" spans="1:2">
      <c r="A3810" s="1" t="s">
        <v>4193</v>
      </c>
      <c r="B3810">
        <v>43740</v>
      </c>
    </row>
    <row r="3811" spans="1:2">
      <c r="A3811" s="1" t="s">
        <v>4194</v>
      </c>
      <c r="B3811">
        <v>43832</v>
      </c>
    </row>
    <row r="3812" spans="1:2">
      <c r="A3812" s="1" t="s">
        <v>4195</v>
      </c>
      <c r="B3812">
        <v>43815</v>
      </c>
    </row>
    <row r="3813" spans="1:2">
      <c r="A3813" s="1" t="s">
        <v>4196</v>
      </c>
      <c r="B3813">
        <v>43717</v>
      </c>
    </row>
    <row r="3814" spans="1:2">
      <c r="A3814" s="1" t="s">
        <v>4197</v>
      </c>
      <c r="B3814" t="s">
        <v>775</v>
      </c>
    </row>
    <row r="3815" spans="1:2">
      <c r="A3815" s="1" t="s">
        <v>4198</v>
      </c>
      <c r="B3815">
        <v>43738</v>
      </c>
    </row>
    <row r="3816" spans="1:2">
      <c r="A3816" s="1" t="s">
        <v>4199</v>
      </c>
      <c r="B3816">
        <v>43738</v>
      </c>
    </row>
    <row r="3817" spans="1:2">
      <c r="A3817" s="1" t="s">
        <v>4200</v>
      </c>
      <c r="B3817">
        <v>43826</v>
      </c>
    </row>
    <row r="3818" spans="1:2">
      <c r="A3818" s="1" t="s">
        <v>4201</v>
      </c>
      <c r="B3818">
        <v>43830</v>
      </c>
    </row>
    <row r="3819" spans="1:2">
      <c r="A3819" s="1" t="s">
        <v>4202</v>
      </c>
      <c r="B3819">
        <v>43837</v>
      </c>
    </row>
    <row r="3820" spans="1:2">
      <c r="A3820" s="1" t="s">
        <v>4203</v>
      </c>
      <c r="B3820">
        <v>43740</v>
      </c>
    </row>
    <row r="3821" spans="1:2">
      <c r="A3821" s="1" t="s">
        <v>233</v>
      </c>
      <c r="B3821">
        <v>43830</v>
      </c>
    </row>
    <row r="3822" spans="1:2">
      <c r="A3822" s="1" t="s">
        <v>4204</v>
      </c>
      <c r="B3822">
        <v>43819</v>
      </c>
    </row>
    <row r="3823" spans="1:2">
      <c r="A3823" s="1" t="s">
        <v>4205</v>
      </c>
      <c r="B3823">
        <v>43805</v>
      </c>
    </row>
    <row r="3824" spans="1:2">
      <c r="A3824" s="1" t="s">
        <v>4206</v>
      </c>
      <c r="B3824">
        <v>43738</v>
      </c>
    </row>
    <row r="3825" spans="1:2">
      <c r="A3825" s="1" t="s">
        <v>4207</v>
      </c>
      <c r="B3825">
        <v>43738</v>
      </c>
    </row>
    <row r="3826" spans="1:2">
      <c r="A3826" s="1" t="s">
        <v>4208</v>
      </c>
      <c r="B3826">
        <v>43831</v>
      </c>
    </row>
    <row r="3827" spans="1:2">
      <c r="A3827" s="1" t="s">
        <v>4209</v>
      </c>
      <c r="B3827">
        <v>43784</v>
      </c>
    </row>
    <row r="3828" spans="1:2">
      <c r="A3828" s="1" t="s">
        <v>4210</v>
      </c>
      <c r="B3828">
        <v>43804</v>
      </c>
    </row>
    <row r="3829" spans="1:2">
      <c r="A3829" s="1" t="s">
        <v>273</v>
      </c>
      <c r="B3829">
        <v>43784</v>
      </c>
    </row>
    <row r="3830" spans="1:2">
      <c r="A3830" s="1" t="s">
        <v>4211</v>
      </c>
      <c r="B3830">
        <v>43875</v>
      </c>
    </row>
    <row r="3831" spans="1:2">
      <c r="A3831" s="1" t="s">
        <v>4212</v>
      </c>
      <c r="B3831">
        <v>43812</v>
      </c>
    </row>
    <row r="3832" spans="1:2">
      <c r="A3832" s="1" t="s">
        <v>4213</v>
      </c>
      <c r="B3832">
        <v>43727</v>
      </c>
    </row>
    <row r="3833" spans="1:2">
      <c r="A3833" s="1" t="s">
        <v>4214</v>
      </c>
      <c r="B3833">
        <v>43819</v>
      </c>
    </row>
    <row r="3834" spans="1:2">
      <c r="A3834" s="1" t="s">
        <v>4215</v>
      </c>
      <c r="B3834">
        <v>43816</v>
      </c>
    </row>
    <row r="3835" spans="1:2">
      <c r="A3835" s="1" t="s">
        <v>4216</v>
      </c>
      <c r="B3835">
        <v>43799</v>
      </c>
    </row>
    <row r="3836" spans="1:2">
      <c r="A3836" s="1" t="s">
        <v>4217</v>
      </c>
      <c r="B3836">
        <v>43819</v>
      </c>
    </row>
    <row r="3837" spans="1:2">
      <c r="A3837" s="1" t="s">
        <v>4218</v>
      </c>
      <c r="B3837">
        <v>43812</v>
      </c>
    </row>
    <row r="3838" spans="1:2">
      <c r="A3838" s="1" t="s">
        <v>82</v>
      </c>
      <c r="B3838">
        <v>43830</v>
      </c>
    </row>
    <row r="3839" spans="1:2">
      <c r="A3839" s="1" t="s">
        <v>4219</v>
      </c>
      <c r="B3839">
        <v>43623</v>
      </c>
    </row>
    <row r="3840" spans="1:2">
      <c r="A3840" s="1" t="s">
        <v>124</v>
      </c>
      <c r="B3840">
        <v>43845</v>
      </c>
    </row>
    <row r="3841" spans="1:2">
      <c r="A3841" s="1" t="s">
        <v>4220</v>
      </c>
      <c r="B3841">
        <v>43606</v>
      </c>
    </row>
    <row r="3842" spans="1:2">
      <c r="A3842" s="1" t="s">
        <v>4221</v>
      </c>
      <c r="B3842">
        <v>43819</v>
      </c>
    </row>
    <row r="3843" spans="1:2">
      <c r="A3843" s="1" t="s">
        <v>4222</v>
      </c>
      <c r="B3843">
        <v>43819</v>
      </c>
    </row>
    <row r="3844" spans="1:2">
      <c r="A3844" s="1" t="s">
        <v>4223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4224</v>
      </c>
      <c r="B3846">
        <v>43798</v>
      </c>
    </row>
    <row r="3847" spans="1:2">
      <c r="A3847" s="1" t="s">
        <v>4225</v>
      </c>
      <c r="B3847">
        <v>43641</v>
      </c>
    </row>
    <row r="3848" spans="1:2">
      <c r="A3848" s="1" t="s">
        <v>4226</v>
      </c>
      <c r="B3848">
        <v>43850</v>
      </c>
    </row>
    <row r="3849" spans="1:2">
      <c r="A3849" s="1" t="s">
        <v>4227</v>
      </c>
      <c r="B3849">
        <v>43819</v>
      </c>
    </row>
    <row r="3850" spans="1:2">
      <c r="A3850" s="1" t="s">
        <v>4228</v>
      </c>
      <c r="B3850">
        <v>43585</v>
      </c>
    </row>
    <row r="3851" spans="1:2">
      <c r="A3851" s="1" t="s">
        <v>383</v>
      </c>
      <c r="B3851">
        <v>43783</v>
      </c>
    </row>
    <row r="3852" spans="1:2">
      <c r="A3852" s="1" t="s">
        <v>4229</v>
      </c>
      <c r="B3852">
        <v>43802</v>
      </c>
    </row>
    <row r="3853" spans="1:2">
      <c r="A3853" s="1" t="s">
        <v>4230</v>
      </c>
      <c r="B3853">
        <v>43777</v>
      </c>
    </row>
    <row r="3854" spans="1:2">
      <c r="A3854" s="1" t="s">
        <v>4231</v>
      </c>
      <c r="B3854">
        <v>43822</v>
      </c>
    </row>
    <row r="3855" spans="1:2">
      <c r="A3855" s="1" t="s">
        <v>123</v>
      </c>
      <c r="B3855">
        <v>43784</v>
      </c>
    </row>
    <row r="3856" spans="1:2">
      <c r="A3856" s="1" t="s">
        <v>4232</v>
      </c>
      <c r="B3856">
        <v>43657</v>
      </c>
    </row>
    <row r="3857" spans="1:2">
      <c r="A3857" s="1" t="s">
        <v>326</v>
      </c>
      <c r="B3857">
        <v>43845</v>
      </c>
    </row>
    <row r="3858" spans="1:2">
      <c r="A3858" s="1" t="s">
        <v>4233</v>
      </c>
      <c r="B3858">
        <v>43733</v>
      </c>
    </row>
    <row r="3859" spans="1:2">
      <c r="A3859" s="1" t="s">
        <v>4234</v>
      </c>
      <c r="B3859" t="s">
        <v>775</v>
      </c>
    </row>
    <row r="3860" spans="1:2">
      <c r="A3860" s="1" t="s">
        <v>4235</v>
      </c>
      <c r="B3860">
        <v>43825</v>
      </c>
    </row>
    <row r="3861" spans="1:2">
      <c r="A3861" s="1" t="s">
        <v>4236</v>
      </c>
      <c r="B3861">
        <v>43805</v>
      </c>
    </row>
    <row r="3862" spans="1:2">
      <c r="A3862" s="1" t="s">
        <v>4237</v>
      </c>
      <c r="B3862">
        <v>43840</v>
      </c>
    </row>
    <row r="3863" spans="1:2">
      <c r="A3863" s="1" t="s">
        <v>4238</v>
      </c>
      <c r="B3863">
        <v>43784</v>
      </c>
    </row>
    <row r="3864" spans="1:2">
      <c r="A3864" s="1" t="s">
        <v>4239</v>
      </c>
      <c r="B3864">
        <v>43790</v>
      </c>
    </row>
    <row r="3865" spans="1:2">
      <c r="A3865" s="1" t="s">
        <v>4240</v>
      </c>
      <c r="B3865">
        <v>43763</v>
      </c>
    </row>
    <row r="3866" spans="1:2">
      <c r="A3866" s="1" t="s">
        <v>4241</v>
      </c>
      <c r="B3866">
        <v>43594</v>
      </c>
    </row>
    <row r="3867" spans="1:2">
      <c r="A3867" s="1" t="s">
        <v>4242</v>
      </c>
      <c r="B3867">
        <v>43798</v>
      </c>
    </row>
    <row r="3868" spans="1:2">
      <c r="A3868" s="1" t="s">
        <v>4243</v>
      </c>
      <c r="B3868">
        <v>43864</v>
      </c>
    </row>
    <row r="3869" spans="1:2">
      <c r="A3869" s="1" t="s">
        <v>4244</v>
      </c>
      <c r="B3869">
        <v>43811</v>
      </c>
    </row>
    <row r="3870" spans="1:2">
      <c r="A3870" s="1" t="s">
        <v>761</v>
      </c>
      <c r="B3870">
        <v>43857</v>
      </c>
    </row>
    <row r="3871" spans="1:2">
      <c r="A3871" s="1" t="s">
        <v>4245</v>
      </c>
      <c r="B3871">
        <v>43804</v>
      </c>
    </row>
    <row r="3872" spans="1:2">
      <c r="A3872" s="1" t="s">
        <v>4246</v>
      </c>
      <c r="B3872">
        <v>43862</v>
      </c>
    </row>
    <row r="3873" spans="1:2">
      <c r="A3873" s="1" t="s">
        <v>4247</v>
      </c>
      <c r="B3873">
        <v>43818</v>
      </c>
    </row>
    <row r="3874" spans="1:2">
      <c r="A3874" s="1" t="s">
        <v>4248</v>
      </c>
      <c r="B3874">
        <v>43819</v>
      </c>
    </row>
    <row r="3875" spans="1:2">
      <c r="A3875" s="1" t="s">
        <v>4249</v>
      </c>
      <c r="B3875">
        <v>43783</v>
      </c>
    </row>
    <row r="3876" spans="1:2">
      <c r="A3876" s="1" t="s">
        <v>4250</v>
      </c>
      <c r="B3876">
        <v>43735</v>
      </c>
    </row>
    <row r="3877" spans="1:2">
      <c r="A3877" s="1" t="s">
        <v>4251</v>
      </c>
      <c r="B3877">
        <v>43815</v>
      </c>
    </row>
    <row r="3878" spans="1:2">
      <c r="A3878" s="1" t="s">
        <v>4252</v>
      </c>
      <c r="B3878">
        <v>43830</v>
      </c>
    </row>
    <row r="3879" spans="1:2">
      <c r="A3879" s="1" t="s">
        <v>4253</v>
      </c>
      <c r="B3879">
        <v>43763</v>
      </c>
    </row>
    <row r="3880" spans="1:2">
      <c r="A3880" s="1" t="s">
        <v>4254</v>
      </c>
      <c r="B3880" t="s">
        <v>775</v>
      </c>
    </row>
    <row r="3881" spans="1:2">
      <c r="A3881" s="1" t="s">
        <v>4255</v>
      </c>
      <c r="B3881">
        <v>43796</v>
      </c>
    </row>
    <row r="3882" spans="1:2">
      <c r="A3882" s="1" t="s">
        <v>4256</v>
      </c>
      <c r="B3882">
        <v>43801</v>
      </c>
    </row>
    <row r="3883" spans="1:2">
      <c r="A3883" s="1" t="s">
        <v>4257</v>
      </c>
      <c r="B3883">
        <v>43845</v>
      </c>
    </row>
    <row r="3884" spans="1:2">
      <c r="A3884" s="1" t="s">
        <v>4258</v>
      </c>
      <c r="B3884">
        <v>43774</v>
      </c>
    </row>
    <row r="3885" spans="1:2">
      <c r="A3885" s="1" t="s">
        <v>4259</v>
      </c>
      <c r="B3885">
        <v>43836</v>
      </c>
    </row>
    <row r="3886" spans="1:2">
      <c r="A3886" s="1" t="s">
        <v>4260</v>
      </c>
      <c r="B3886">
        <v>43740</v>
      </c>
    </row>
    <row r="3887" spans="1:2">
      <c r="A3887" s="1" t="s">
        <v>4261</v>
      </c>
      <c r="B3887">
        <v>43629</v>
      </c>
    </row>
    <row r="3888" spans="1:2">
      <c r="A3888" s="1" t="s">
        <v>4262</v>
      </c>
      <c r="B3888">
        <v>43805</v>
      </c>
    </row>
    <row r="3889" spans="1:2">
      <c r="A3889" s="1" t="s">
        <v>4263</v>
      </c>
      <c r="B3889">
        <v>43801</v>
      </c>
    </row>
    <row r="3890" spans="1:2">
      <c r="A3890" s="1" t="s">
        <v>4264</v>
      </c>
      <c r="B3890">
        <v>43759</v>
      </c>
    </row>
    <row r="3891" spans="1:2">
      <c r="A3891" s="1" t="s">
        <v>4265</v>
      </c>
      <c r="B3891">
        <v>43763</v>
      </c>
    </row>
    <row r="3892" spans="1:2">
      <c r="A3892" s="1" t="s">
        <v>4266</v>
      </c>
      <c r="B3892">
        <v>43644</v>
      </c>
    </row>
    <row r="3893" spans="1:2">
      <c r="A3893" s="1" t="s">
        <v>4267</v>
      </c>
      <c r="B3893">
        <v>43840</v>
      </c>
    </row>
    <row r="3894" spans="1:2">
      <c r="A3894" s="1" t="s">
        <v>4268</v>
      </c>
      <c r="B3894">
        <v>43830</v>
      </c>
    </row>
    <row r="3895" spans="1:2">
      <c r="A3895" s="1" t="s">
        <v>4269</v>
      </c>
      <c r="B3895" t="s">
        <v>775</v>
      </c>
    </row>
    <row r="3896" spans="1:2">
      <c r="A3896" s="1" t="s">
        <v>588</v>
      </c>
      <c r="B3896">
        <v>43921</v>
      </c>
    </row>
    <row r="3897" spans="1:2">
      <c r="A3897" s="1" t="s">
        <v>4270</v>
      </c>
      <c r="B3897">
        <v>43832</v>
      </c>
    </row>
    <row r="3898" spans="1:2">
      <c r="A3898" s="1" t="s">
        <v>4271</v>
      </c>
      <c r="B3898">
        <v>43823</v>
      </c>
    </row>
    <row r="3899" spans="1:2">
      <c r="A3899" s="1" t="s">
        <v>4272</v>
      </c>
      <c r="B3899">
        <v>43825</v>
      </c>
    </row>
    <row r="3900" spans="1:2">
      <c r="A3900" s="1" t="s">
        <v>4273</v>
      </c>
      <c r="B3900">
        <v>43812</v>
      </c>
    </row>
    <row r="3901" spans="1:2">
      <c r="A3901" s="1" t="s">
        <v>4274</v>
      </c>
      <c r="B3901">
        <v>43796</v>
      </c>
    </row>
    <row r="3902" spans="1:2">
      <c r="A3902" s="1" t="s">
        <v>4275</v>
      </c>
      <c r="B3902">
        <v>43804</v>
      </c>
    </row>
    <row r="3903" spans="1:2">
      <c r="A3903" s="1" t="s">
        <v>4276</v>
      </c>
      <c r="B3903">
        <v>43798</v>
      </c>
    </row>
    <row r="3904" spans="1:2">
      <c r="A3904" s="1" t="s">
        <v>4277</v>
      </c>
      <c r="B3904">
        <v>43804</v>
      </c>
    </row>
    <row r="3905" spans="1:2">
      <c r="A3905" s="1" t="s">
        <v>4278</v>
      </c>
      <c r="B3905">
        <v>43690</v>
      </c>
    </row>
    <row r="3906" spans="1:2">
      <c r="A3906" s="1" t="s">
        <v>4279</v>
      </c>
      <c r="B3906">
        <v>43635</v>
      </c>
    </row>
    <row r="3907" spans="1:2">
      <c r="A3907" s="1" t="s">
        <v>4280</v>
      </c>
      <c r="B3907">
        <v>43578</v>
      </c>
    </row>
    <row r="3908" spans="1:2">
      <c r="A3908" s="1" t="s">
        <v>4281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4282</v>
      </c>
      <c r="B3910">
        <v>43818</v>
      </c>
    </row>
    <row r="3911" spans="1:2">
      <c r="A3911" s="1" t="s">
        <v>4283</v>
      </c>
      <c r="B3911">
        <v>43683</v>
      </c>
    </row>
    <row r="3912" spans="1:2">
      <c r="A3912" s="1" t="s">
        <v>4284</v>
      </c>
      <c r="B3912">
        <v>43740</v>
      </c>
    </row>
    <row r="3913" spans="1:2">
      <c r="A3913" s="1" t="s">
        <v>91</v>
      </c>
      <c r="B3913">
        <v>43784</v>
      </c>
    </row>
    <row r="3914" spans="1:2">
      <c r="A3914" s="1" t="s">
        <v>332</v>
      </c>
      <c r="B3914">
        <v>43830</v>
      </c>
    </row>
    <row r="3915" spans="1:2">
      <c r="A3915" s="1" t="s">
        <v>4285</v>
      </c>
      <c r="B3915">
        <v>43830</v>
      </c>
    </row>
    <row r="3916" spans="1:2">
      <c r="A3916" s="1" t="s">
        <v>4286</v>
      </c>
      <c r="B3916">
        <v>43738</v>
      </c>
    </row>
    <row r="3917" spans="1:2">
      <c r="A3917" s="1" t="s">
        <v>4287</v>
      </c>
      <c r="B3917">
        <v>43700</v>
      </c>
    </row>
    <row r="3918" spans="1:2">
      <c r="A3918" s="1" t="s">
        <v>4288</v>
      </c>
      <c r="B3918">
        <v>43836</v>
      </c>
    </row>
    <row r="3919" spans="1:2">
      <c r="A3919" s="1" t="s">
        <v>4289</v>
      </c>
      <c r="B3919">
        <v>43809</v>
      </c>
    </row>
    <row r="3920" spans="1:2">
      <c r="A3920" s="1" t="s">
        <v>4290</v>
      </c>
      <c r="B3920">
        <v>43832</v>
      </c>
    </row>
    <row r="3921" spans="1:2">
      <c r="A3921" s="1" t="s">
        <v>4291</v>
      </c>
      <c r="B3921">
        <v>43783</v>
      </c>
    </row>
    <row r="3922" spans="1:2">
      <c r="A3922" s="1" t="s">
        <v>4292</v>
      </c>
      <c r="B3922">
        <v>43832</v>
      </c>
    </row>
    <row r="3923" spans="1:2">
      <c r="A3923" s="1" t="s">
        <v>4293</v>
      </c>
      <c r="B3923">
        <v>43690</v>
      </c>
    </row>
    <row r="3924" spans="1:2">
      <c r="A3924" s="1" t="s">
        <v>4294</v>
      </c>
      <c r="B3924">
        <v>43780</v>
      </c>
    </row>
    <row r="3925" spans="1:2">
      <c r="A3925" s="1" t="s">
        <v>4295</v>
      </c>
      <c r="B3925">
        <v>43738</v>
      </c>
    </row>
    <row r="3926" spans="1:2">
      <c r="A3926" s="1" t="s">
        <v>4296</v>
      </c>
      <c r="B3926" t="s">
        <v>775</v>
      </c>
    </row>
    <row r="3927" spans="1:2">
      <c r="A3927" s="1" t="s">
        <v>4297</v>
      </c>
      <c r="B3927">
        <v>43833</v>
      </c>
    </row>
    <row r="3928" spans="1:2">
      <c r="A3928" s="1" t="s">
        <v>353</v>
      </c>
      <c r="B3928">
        <v>43840</v>
      </c>
    </row>
    <row r="3929" spans="1:2">
      <c r="A3929" s="1" t="s">
        <v>4298</v>
      </c>
      <c r="B3929">
        <v>43607</v>
      </c>
    </row>
    <row r="3930" spans="1:2">
      <c r="A3930" s="1" t="s">
        <v>4299</v>
      </c>
      <c r="B3930">
        <v>43812</v>
      </c>
    </row>
    <row r="3931" spans="1:2">
      <c r="A3931" s="1" t="s">
        <v>4300</v>
      </c>
      <c r="B3931">
        <v>43738</v>
      </c>
    </row>
    <row r="3932" spans="1:2">
      <c r="A3932" s="1" t="s">
        <v>4301</v>
      </c>
      <c r="B3932">
        <v>43830</v>
      </c>
    </row>
    <row r="3933" spans="1:2">
      <c r="A3933" s="1" t="s">
        <v>4302</v>
      </c>
      <c r="B3933">
        <v>43700</v>
      </c>
    </row>
    <row r="3934" spans="1:2">
      <c r="A3934" s="1" t="s">
        <v>4303</v>
      </c>
      <c r="B3934">
        <v>43700</v>
      </c>
    </row>
    <row r="3935" spans="1:2">
      <c r="A3935" s="1" t="s">
        <v>4304</v>
      </c>
      <c r="B3935">
        <v>43726</v>
      </c>
    </row>
    <row r="3936" spans="1:2">
      <c r="A3936" s="1" t="s">
        <v>558</v>
      </c>
      <c r="B3936">
        <v>43795</v>
      </c>
    </row>
    <row r="3937" spans="1:2">
      <c r="A3937" s="1" t="s">
        <v>4305</v>
      </c>
      <c r="B3937">
        <v>43609</v>
      </c>
    </row>
    <row r="3938" spans="1:2">
      <c r="A3938" s="1" t="s">
        <v>439</v>
      </c>
      <c r="B3938">
        <v>43609</v>
      </c>
    </row>
    <row r="3939" spans="1:2">
      <c r="A3939" s="1" t="s">
        <v>4306</v>
      </c>
      <c r="B3939">
        <v>43798</v>
      </c>
    </row>
    <row r="3940" spans="1:2">
      <c r="A3940" s="1" t="s">
        <v>60</v>
      </c>
      <c r="B3940">
        <v>43837</v>
      </c>
    </row>
    <row r="3941" spans="1:2">
      <c r="A3941" s="1" t="s">
        <v>4307</v>
      </c>
      <c r="B3941">
        <v>43703</v>
      </c>
    </row>
    <row r="3942" spans="1:2">
      <c r="A3942" s="1" t="s">
        <v>4308</v>
      </c>
      <c r="B3942">
        <v>43696</v>
      </c>
    </row>
    <row r="3943" spans="1:2">
      <c r="A3943" s="1" t="s">
        <v>4309</v>
      </c>
      <c r="B3943">
        <v>43734</v>
      </c>
    </row>
    <row r="3944" spans="1:2">
      <c r="A3944" s="1" t="s">
        <v>4310</v>
      </c>
      <c r="B3944">
        <v>43700</v>
      </c>
    </row>
    <row r="3945" spans="1:2">
      <c r="A3945" s="1" t="s">
        <v>4311</v>
      </c>
      <c r="B3945">
        <v>43804</v>
      </c>
    </row>
    <row r="3946" spans="1:2">
      <c r="A3946" s="1" t="s">
        <v>4312</v>
      </c>
      <c r="B3946">
        <v>43740</v>
      </c>
    </row>
    <row r="3947" spans="1:2">
      <c r="A3947" s="1" t="s">
        <v>4313</v>
      </c>
      <c r="B3947">
        <v>43819</v>
      </c>
    </row>
    <row r="3948" spans="1:2">
      <c r="A3948" s="1" t="s">
        <v>4314</v>
      </c>
      <c r="B3948">
        <v>43802</v>
      </c>
    </row>
    <row r="3949" spans="1:2">
      <c r="A3949" s="1" t="s">
        <v>750</v>
      </c>
      <c r="B3949">
        <v>43829</v>
      </c>
    </row>
    <row r="3950" spans="1:2">
      <c r="A3950" s="1" t="s">
        <v>4315</v>
      </c>
      <c r="B3950">
        <v>43838</v>
      </c>
    </row>
    <row r="3951" spans="1:2">
      <c r="A3951" s="1" t="s">
        <v>4316</v>
      </c>
      <c r="B3951">
        <v>43571</v>
      </c>
    </row>
    <row r="3952" spans="1:2">
      <c r="A3952" s="1" t="s">
        <v>4317</v>
      </c>
      <c r="B3952">
        <v>43826</v>
      </c>
    </row>
    <row r="3953" spans="1:2">
      <c r="A3953" s="1" t="s">
        <v>105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4318</v>
      </c>
      <c r="B3955">
        <v>43801</v>
      </c>
    </row>
    <row r="3956" spans="1:2">
      <c r="A3956" s="1" t="s">
        <v>4319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304</v>
      </c>
      <c r="B3958">
        <v>43852</v>
      </c>
    </row>
    <row r="3959" spans="1:2">
      <c r="A3959" s="1" t="s">
        <v>4320</v>
      </c>
      <c r="B3959">
        <v>43819</v>
      </c>
    </row>
    <row r="3960" spans="1:2">
      <c r="A3960" s="1" t="s">
        <v>4321</v>
      </c>
      <c r="B3960">
        <v>43804</v>
      </c>
    </row>
    <row r="3961" spans="1:2">
      <c r="A3961" s="1" t="s">
        <v>4322</v>
      </c>
      <c r="B3961">
        <v>43734</v>
      </c>
    </row>
    <row r="3962" spans="1:2">
      <c r="A3962" s="1" t="s">
        <v>4323</v>
      </c>
      <c r="B3962">
        <v>43816</v>
      </c>
    </row>
    <row r="3963" spans="1:2">
      <c r="A3963" s="1" t="s">
        <v>4324</v>
      </c>
      <c r="B3963">
        <v>43774</v>
      </c>
    </row>
    <row r="3964" spans="1:2">
      <c r="A3964" s="1" t="s">
        <v>572</v>
      </c>
      <c r="B3964">
        <v>43845</v>
      </c>
    </row>
    <row r="3965" spans="1:2">
      <c r="A3965" s="1" t="s">
        <v>4325</v>
      </c>
      <c r="B3965">
        <v>43812</v>
      </c>
    </row>
    <row r="3966" spans="1:2">
      <c r="A3966" s="1" t="s">
        <v>4326</v>
      </c>
      <c r="B3966">
        <v>43461</v>
      </c>
    </row>
    <row r="3967" spans="1:2">
      <c r="A3967" s="1" t="s">
        <v>4327</v>
      </c>
      <c r="B3967">
        <v>43832</v>
      </c>
    </row>
    <row r="3968" spans="1:2">
      <c r="A3968" s="1" t="s">
        <v>4328</v>
      </c>
      <c r="B3968">
        <v>43735</v>
      </c>
    </row>
    <row r="3969" spans="1:2">
      <c r="A3969" s="1" t="s">
        <v>4329</v>
      </c>
      <c r="B3969">
        <v>43733</v>
      </c>
    </row>
    <row r="3970" spans="1:2">
      <c r="A3970" s="1" t="s">
        <v>4330</v>
      </c>
      <c r="B3970">
        <v>43826</v>
      </c>
    </row>
    <row r="3971" spans="1:2">
      <c r="A3971" s="1" t="s">
        <v>4331</v>
      </c>
      <c r="B3971">
        <v>43823</v>
      </c>
    </row>
    <row r="3972" spans="1:2">
      <c r="A3972" s="1" t="s">
        <v>4332</v>
      </c>
      <c r="B3972">
        <v>43830</v>
      </c>
    </row>
    <row r="3973" spans="1:2">
      <c r="A3973" s="1" t="s">
        <v>4333</v>
      </c>
      <c r="B3973">
        <v>43804</v>
      </c>
    </row>
    <row r="3974" spans="1:2">
      <c r="A3974" s="1" t="s">
        <v>4334</v>
      </c>
      <c r="B3974">
        <v>43822</v>
      </c>
    </row>
    <row r="3975" spans="1:2">
      <c r="A3975" s="1" t="s">
        <v>49</v>
      </c>
      <c r="B3975">
        <v>43808</v>
      </c>
    </row>
    <row r="3976" spans="1:2">
      <c r="A3976" s="1" t="s">
        <v>4335</v>
      </c>
      <c r="B3976">
        <v>43805</v>
      </c>
    </row>
    <row r="3977" spans="1:2">
      <c r="A3977" s="1" t="s">
        <v>4336</v>
      </c>
      <c r="B3977">
        <v>43805</v>
      </c>
    </row>
    <row r="3978" spans="1:2">
      <c r="A3978" s="1" t="s">
        <v>4337</v>
      </c>
      <c r="B3978">
        <v>43769</v>
      </c>
    </row>
    <row r="3979" spans="1:2">
      <c r="A3979" s="1" t="s">
        <v>4338</v>
      </c>
      <c r="B3979">
        <v>43791</v>
      </c>
    </row>
    <row r="3980" spans="1:2">
      <c r="A3980" s="1" t="s">
        <v>4339</v>
      </c>
      <c r="B3980">
        <v>43812</v>
      </c>
    </row>
    <row r="3981" spans="1:2">
      <c r="A3981" s="1" t="s">
        <v>4340</v>
      </c>
      <c r="B3981">
        <v>43805</v>
      </c>
    </row>
    <row r="3982" spans="1:2">
      <c r="A3982" s="1" t="s">
        <v>4341</v>
      </c>
      <c r="B3982">
        <v>43654</v>
      </c>
    </row>
    <row r="3983" spans="1:2">
      <c r="A3983" s="1" t="s">
        <v>4342</v>
      </c>
      <c r="B3983">
        <v>43724</v>
      </c>
    </row>
    <row r="3984" spans="1:2">
      <c r="A3984" s="1" t="s">
        <v>4343</v>
      </c>
      <c r="B3984">
        <v>43833</v>
      </c>
    </row>
    <row r="3985" spans="1:2">
      <c r="A3985" s="1" t="s">
        <v>4344</v>
      </c>
      <c r="B3985" t="s">
        <v>775</v>
      </c>
    </row>
    <row r="3986" spans="1:2">
      <c r="A3986" s="1" t="s">
        <v>4345</v>
      </c>
      <c r="B3986">
        <v>43644</v>
      </c>
    </row>
    <row r="3987" spans="1:2">
      <c r="A3987" s="1" t="s">
        <v>95</v>
      </c>
      <c r="B3987">
        <v>43800</v>
      </c>
    </row>
    <row r="3988" spans="1:2">
      <c r="A3988" s="1" t="s">
        <v>4346</v>
      </c>
      <c r="B3988">
        <v>43738</v>
      </c>
    </row>
    <row r="3989" spans="1:2">
      <c r="A3989" s="1" t="s">
        <v>4347</v>
      </c>
      <c r="B3989">
        <v>43831</v>
      </c>
    </row>
    <row r="3990" spans="1:2">
      <c r="A3990" s="1" t="s">
        <v>4348</v>
      </c>
      <c r="B3990">
        <v>43661</v>
      </c>
    </row>
    <row r="3991" spans="1:2">
      <c r="A3991" s="1" t="s">
        <v>4349</v>
      </c>
      <c r="B3991">
        <v>43837</v>
      </c>
    </row>
    <row r="3992" spans="1:2">
      <c r="A3992" s="1" t="s">
        <v>4350</v>
      </c>
      <c r="B3992">
        <v>43634</v>
      </c>
    </row>
    <row r="3993" spans="1:2">
      <c r="A3993" s="1" t="s">
        <v>4351</v>
      </c>
      <c r="B3993">
        <v>43818</v>
      </c>
    </row>
    <row r="3994" spans="1:2">
      <c r="A3994" s="1" t="s">
        <v>4352</v>
      </c>
      <c r="B3994">
        <v>43692</v>
      </c>
    </row>
    <row r="3995" spans="1:2">
      <c r="A3995" s="1" t="s">
        <v>4353</v>
      </c>
      <c r="B3995">
        <v>43819</v>
      </c>
    </row>
    <row r="3996" spans="1:2">
      <c r="A3996" s="1" t="s">
        <v>4354</v>
      </c>
      <c r="B3996">
        <v>43819</v>
      </c>
    </row>
    <row r="3997" spans="1:2">
      <c r="A3997" s="1" t="s">
        <v>4355</v>
      </c>
      <c r="B3997">
        <v>43816</v>
      </c>
    </row>
    <row r="3998" spans="1:2">
      <c r="A3998" s="1" t="s">
        <v>4356</v>
      </c>
      <c r="B3998">
        <v>43819</v>
      </c>
    </row>
    <row r="3999" spans="1:2">
      <c r="A3999" s="1" t="s">
        <v>4357</v>
      </c>
      <c r="B3999">
        <v>43830</v>
      </c>
    </row>
    <row r="4000" spans="1:2">
      <c r="A4000" s="1" t="s">
        <v>112</v>
      </c>
      <c r="B4000">
        <v>43845</v>
      </c>
    </row>
    <row r="4001" spans="1:2">
      <c r="A4001" s="1" t="s">
        <v>4358</v>
      </c>
      <c r="B4001">
        <v>43791</v>
      </c>
    </row>
    <row r="4002" spans="1:2">
      <c r="A4002" s="1" t="s">
        <v>4359</v>
      </c>
      <c r="B4002">
        <v>43819</v>
      </c>
    </row>
    <row r="4003" spans="1:2">
      <c r="A4003" s="1" t="s">
        <v>4360</v>
      </c>
      <c r="B4003">
        <v>43819</v>
      </c>
    </row>
    <row r="4004" spans="1:2">
      <c r="A4004" s="1" t="s">
        <v>4361</v>
      </c>
      <c r="B4004">
        <v>43784</v>
      </c>
    </row>
    <row r="4005" spans="1:2">
      <c r="A4005" s="1" t="s">
        <v>4362</v>
      </c>
      <c r="B4005">
        <v>43845</v>
      </c>
    </row>
    <row r="4006" spans="1:2">
      <c r="A4006" s="1" t="s">
        <v>4363</v>
      </c>
      <c r="B4006">
        <v>43812</v>
      </c>
    </row>
    <row r="4007" spans="1:2">
      <c r="A4007" s="1" t="s">
        <v>4364</v>
      </c>
      <c r="B4007">
        <v>43804</v>
      </c>
    </row>
    <row r="4008" spans="1:2">
      <c r="A4008" s="1" t="s">
        <v>4365</v>
      </c>
      <c r="B4008">
        <v>43735</v>
      </c>
    </row>
    <row r="4009" spans="1:2">
      <c r="A4009" s="1" t="s">
        <v>4366</v>
      </c>
      <c r="B4009">
        <v>43804</v>
      </c>
    </row>
    <row r="4010" spans="1:2">
      <c r="A4010" s="1" t="s">
        <v>4367</v>
      </c>
      <c r="B4010">
        <v>43586</v>
      </c>
    </row>
    <row r="4011" spans="1:2">
      <c r="A4011" s="1" t="s">
        <v>4368</v>
      </c>
      <c r="B4011">
        <v>43851</v>
      </c>
    </row>
    <row r="4012" spans="1:2">
      <c r="A4012" s="1" t="s">
        <v>329</v>
      </c>
      <c r="B4012">
        <v>43809</v>
      </c>
    </row>
    <row r="4013" spans="1:2">
      <c r="A4013" s="1" t="s">
        <v>4369</v>
      </c>
      <c r="B4013">
        <v>43791</v>
      </c>
    </row>
    <row r="4014" spans="1:2">
      <c r="A4014" s="1" t="s">
        <v>4370</v>
      </c>
      <c r="B4014">
        <v>43830</v>
      </c>
    </row>
    <row r="4015" spans="1:2">
      <c r="A4015" s="1" t="s">
        <v>4371</v>
      </c>
      <c r="B4015">
        <v>43733</v>
      </c>
    </row>
    <row r="4016" spans="1:2">
      <c r="A4016" s="1" t="s">
        <v>4372</v>
      </c>
      <c r="B4016">
        <v>43822</v>
      </c>
    </row>
    <row r="4017" spans="1:2">
      <c r="A4017" s="1" t="s">
        <v>4373</v>
      </c>
      <c r="B4017">
        <v>43738</v>
      </c>
    </row>
    <row r="4018" spans="1:2">
      <c r="A4018" s="1" t="s">
        <v>4374</v>
      </c>
      <c r="B4018" t="s">
        <v>775</v>
      </c>
    </row>
    <row r="4019" spans="1:2">
      <c r="A4019" s="1" t="s">
        <v>4375</v>
      </c>
      <c r="B4019">
        <v>43656</v>
      </c>
    </row>
    <row r="4020" spans="1:2">
      <c r="A4020" s="1" t="s">
        <v>4376</v>
      </c>
      <c r="B4020">
        <v>43812</v>
      </c>
    </row>
    <row r="4021" spans="1:2">
      <c r="A4021" s="1" t="s">
        <v>4377</v>
      </c>
      <c r="B4021">
        <v>43734</v>
      </c>
    </row>
    <row r="4022" spans="1:2">
      <c r="A4022" s="1" t="s">
        <v>4378</v>
      </c>
      <c r="B4022">
        <v>43844</v>
      </c>
    </row>
    <row r="4023" spans="1:2">
      <c r="A4023" s="1" t="s">
        <v>4379</v>
      </c>
      <c r="B4023">
        <v>43544</v>
      </c>
    </row>
    <row r="4024" spans="1:2">
      <c r="A4024" s="1" t="s">
        <v>4380</v>
      </c>
      <c r="B4024">
        <v>43798</v>
      </c>
    </row>
    <row r="4025" spans="1:2">
      <c r="A4025" s="1" t="s">
        <v>4381</v>
      </c>
      <c r="B4025">
        <v>43738</v>
      </c>
    </row>
    <row r="4026" spans="1:2">
      <c r="A4026" s="1" t="s">
        <v>4382</v>
      </c>
      <c r="B4026">
        <v>43819</v>
      </c>
    </row>
    <row r="4027" spans="1:2">
      <c r="A4027" s="1" t="s">
        <v>4383</v>
      </c>
      <c r="B4027">
        <v>43644</v>
      </c>
    </row>
    <row r="4028" spans="1:2">
      <c r="A4028" s="1" t="s">
        <v>4384</v>
      </c>
      <c r="B4028">
        <v>43753</v>
      </c>
    </row>
    <row r="4029" spans="1:2">
      <c r="A4029" s="1" t="s">
        <v>4385</v>
      </c>
      <c r="B4029">
        <v>43600</v>
      </c>
    </row>
    <row r="4030" spans="1:2">
      <c r="A4030" s="1" t="s">
        <v>4386</v>
      </c>
      <c r="B4030" t="s">
        <v>775</v>
      </c>
    </row>
    <row r="4031" spans="1:2">
      <c r="A4031" s="1" t="s">
        <v>4387</v>
      </c>
      <c r="B4031" t="s">
        <v>775</v>
      </c>
    </row>
    <row r="4032" spans="1:2">
      <c r="A4032" s="1" t="s">
        <v>4388</v>
      </c>
      <c r="B4032">
        <v>43815</v>
      </c>
    </row>
    <row r="4033" spans="1:2">
      <c r="A4033" s="1" t="s">
        <v>4389</v>
      </c>
      <c r="B4033" t="s">
        <v>775</v>
      </c>
    </row>
    <row r="4034" spans="1:2">
      <c r="A4034" s="1" t="s">
        <v>4390</v>
      </c>
      <c r="B4034">
        <v>43861</v>
      </c>
    </row>
    <row r="4035" spans="1:2">
      <c r="A4035" s="1" t="s">
        <v>4391</v>
      </c>
      <c r="B4035" t="s">
        <v>775</v>
      </c>
    </row>
    <row r="4036" spans="1:2">
      <c r="A4036" s="1" t="s">
        <v>4392</v>
      </c>
      <c r="B4036">
        <v>43787</v>
      </c>
    </row>
    <row r="4037" spans="1:2">
      <c r="A4037" s="1" t="s">
        <v>4393</v>
      </c>
      <c r="B4037">
        <v>43608</v>
      </c>
    </row>
    <row r="4038" spans="1:2">
      <c r="A4038" s="1" t="s">
        <v>4394</v>
      </c>
      <c r="B4038">
        <v>43829</v>
      </c>
    </row>
    <row r="4039" spans="1:2">
      <c r="A4039" s="1" t="s">
        <v>4395</v>
      </c>
      <c r="B4039">
        <v>43784</v>
      </c>
    </row>
    <row r="4040" spans="1:2">
      <c r="A4040" s="1" t="s">
        <v>92</v>
      </c>
      <c r="B4040">
        <v>43823</v>
      </c>
    </row>
    <row r="4041" spans="1:2">
      <c r="A4041" s="1" t="s">
        <v>4396</v>
      </c>
      <c r="B4041">
        <v>43745</v>
      </c>
    </row>
    <row r="4042" spans="1:2">
      <c r="A4042" s="1" t="s">
        <v>4397</v>
      </c>
      <c r="B4042">
        <v>43805</v>
      </c>
    </row>
    <row r="4043" spans="1:2">
      <c r="A4043" s="1" t="s">
        <v>4398</v>
      </c>
      <c r="B4043">
        <v>43825</v>
      </c>
    </row>
    <row r="4044" spans="1:2">
      <c r="A4044" s="1" t="s">
        <v>4399</v>
      </c>
      <c r="B4044">
        <v>43819</v>
      </c>
    </row>
    <row r="4045" spans="1:2">
      <c r="A4045" s="1" t="s">
        <v>4400</v>
      </c>
      <c r="B4045">
        <v>43802</v>
      </c>
    </row>
    <row r="4046" spans="1:2">
      <c r="A4046" s="1" t="s">
        <v>4401</v>
      </c>
      <c r="B4046">
        <v>43819</v>
      </c>
    </row>
    <row r="4047" spans="1:2">
      <c r="A4047" s="1" t="s">
        <v>255</v>
      </c>
      <c r="B4047">
        <v>43787</v>
      </c>
    </row>
    <row r="4048" spans="1:2">
      <c r="A4048" s="1" t="s">
        <v>4402</v>
      </c>
      <c r="B4048">
        <v>43733</v>
      </c>
    </row>
    <row r="4049" spans="1:2">
      <c r="A4049" s="1" t="s">
        <v>4403</v>
      </c>
      <c r="B4049">
        <v>43819</v>
      </c>
    </row>
    <row r="4050" spans="1:2">
      <c r="A4050" s="1" t="s">
        <v>4404</v>
      </c>
      <c r="B4050">
        <v>43811</v>
      </c>
    </row>
    <row r="4051" spans="1:2">
      <c r="A4051" s="1" t="s">
        <v>4405</v>
      </c>
      <c r="B4051">
        <v>43740</v>
      </c>
    </row>
    <row r="4052" spans="1:2">
      <c r="A4052" s="1" t="s">
        <v>4406</v>
      </c>
      <c r="B4052">
        <v>43593</v>
      </c>
    </row>
    <row r="4053" spans="1:2">
      <c r="A4053" s="1" t="s">
        <v>4407</v>
      </c>
      <c r="B4053">
        <v>43845</v>
      </c>
    </row>
    <row r="4054" spans="1:2">
      <c r="A4054" s="1" t="s">
        <v>4408</v>
      </c>
      <c r="B4054">
        <v>43818</v>
      </c>
    </row>
    <row r="4055" spans="1:2">
      <c r="A4055" s="1" t="s">
        <v>4409</v>
      </c>
      <c r="B4055">
        <v>43679</v>
      </c>
    </row>
    <row r="4056" spans="1:2">
      <c r="A4056" s="1" t="s">
        <v>4410</v>
      </c>
      <c r="B4056">
        <v>43735</v>
      </c>
    </row>
    <row r="4057" spans="1:2">
      <c r="A4057" s="1" t="s">
        <v>4411</v>
      </c>
      <c r="B4057">
        <v>43830</v>
      </c>
    </row>
    <row r="4058" spans="1:2">
      <c r="A4058" s="1" t="s">
        <v>4412</v>
      </c>
      <c r="B4058">
        <v>43917</v>
      </c>
    </row>
    <row r="4059" spans="1:2">
      <c r="A4059" s="1" t="s">
        <v>4413</v>
      </c>
      <c r="B4059">
        <v>43815</v>
      </c>
    </row>
    <row r="4060" spans="1:2">
      <c r="A4060" s="1" t="s">
        <v>4414</v>
      </c>
      <c r="B4060">
        <v>43818</v>
      </c>
    </row>
    <row r="4061" spans="1:2">
      <c r="A4061" s="1" t="s">
        <v>4415</v>
      </c>
      <c r="B4061" t="s">
        <v>775</v>
      </c>
    </row>
    <row r="4062" spans="1:2">
      <c r="A4062" s="1" t="s">
        <v>218</v>
      </c>
      <c r="B4062">
        <v>43800</v>
      </c>
    </row>
    <row r="4063" spans="1:2">
      <c r="A4063" s="1" t="s">
        <v>4416</v>
      </c>
      <c r="B4063">
        <v>43760</v>
      </c>
    </row>
    <row r="4064" spans="1:2">
      <c r="A4064" s="1" t="s">
        <v>4417</v>
      </c>
      <c r="B4064">
        <v>43819</v>
      </c>
    </row>
    <row r="4065" spans="1:2">
      <c r="A4065" s="1" t="s">
        <v>4418</v>
      </c>
      <c r="B4065">
        <v>43719</v>
      </c>
    </row>
    <row r="4066" spans="1:2">
      <c r="A4066" s="1" t="s">
        <v>4419</v>
      </c>
      <c r="B4066">
        <v>43784</v>
      </c>
    </row>
    <row r="4067" spans="1:2">
      <c r="A4067" s="1" t="s">
        <v>392</v>
      </c>
      <c r="B4067">
        <v>43817</v>
      </c>
    </row>
    <row r="4068" spans="1:2">
      <c r="A4068" s="1" t="s">
        <v>4420</v>
      </c>
      <c r="B4068">
        <v>43830</v>
      </c>
    </row>
    <row r="4069" spans="1:2">
      <c r="A4069" s="1" t="s">
        <v>4421</v>
      </c>
      <c r="B4069">
        <v>43815</v>
      </c>
    </row>
    <row r="4070" spans="1:2">
      <c r="A4070" s="1" t="s">
        <v>4422</v>
      </c>
      <c r="B4070">
        <v>43819</v>
      </c>
    </row>
    <row r="4071" spans="1:2">
      <c r="A4071" s="1" t="s">
        <v>4423</v>
      </c>
      <c r="B4071">
        <v>43461</v>
      </c>
    </row>
    <row r="4072" spans="1:2">
      <c r="A4072" s="1" t="s">
        <v>4424</v>
      </c>
      <c r="B4072">
        <v>43876</v>
      </c>
    </row>
    <row r="4073" spans="1:2">
      <c r="A4073" s="1" t="s">
        <v>4425</v>
      </c>
      <c r="B4073" t="s">
        <v>775</v>
      </c>
    </row>
    <row r="4074" spans="1:2">
      <c r="A4074" s="1" t="s">
        <v>4426</v>
      </c>
      <c r="B4074">
        <v>43804</v>
      </c>
    </row>
    <row r="4075" spans="1:2">
      <c r="A4075" s="1" t="s">
        <v>4427</v>
      </c>
      <c r="B4075">
        <v>43727</v>
      </c>
    </row>
    <row r="4076" spans="1:2">
      <c r="A4076" s="1" t="s">
        <v>4428</v>
      </c>
      <c r="B4076">
        <v>43741</v>
      </c>
    </row>
    <row r="4077" spans="1:2">
      <c r="A4077" s="1" t="s">
        <v>4429</v>
      </c>
      <c r="B4077">
        <v>43804</v>
      </c>
    </row>
    <row r="4078" spans="1:2">
      <c r="A4078" s="1" t="s">
        <v>4430</v>
      </c>
      <c r="B4078">
        <v>43804</v>
      </c>
    </row>
    <row r="4079" spans="1:2">
      <c r="A4079" s="1" t="s">
        <v>4431</v>
      </c>
      <c r="B4079">
        <v>43725</v>
      </c>
    </row>
    <row r="4080" spans="1:2">
      <c r="A4080" s="1" t="s">
        <v>4432</v>
      </c>
      <c r="B4080">
        <v>43816</v>
      </c>
    </row>
    <row r="4081" spans="1:2">
      <c r="A4081" s="1" t="s">
        <v>4433</v>
      </c>
      <c r="B4081">
        <v>43789</v>
      </c>
    </row>
    <row r="4082" spans="1:2">
      <c r="A4082" s="1" t="s">
        <v>287</v>
      </c>
      <c r="B4082">
        <v>43829</v>
      </c>
    </row>
    <row r="4083" spans="1:2">
      <c r="A4083" s="1" t="s">
        <v>4434</v>
      </c>
      <c r="B4083">
        <v>43601</v>
      </c>
    </row>
    <row r="4084" spans="1:2">
      <c r="A4084" s="1" t="s">
        <v>4435</v>
      </c>
      <c r="B4084">
        <v>43777</v>
      </c>
    </row>
    <row r="4085" spans="1:2">
      <c r="A4085" s="1" t="s">
        <v>4436</v>
      </c>
      <c r="B4085">
        <v>43832</v>
      </c>
    </row>
    <row r="4086" spans="1:2">
      <c r="A4086" s="1" t="s">
        <v>4437</v>
      </c>
      <c r="B4086">
        <v>43734</v>
      </c>
    </row>
    <row r="4087" spans="1:2">
      <c r="A4087" s="1" t="s">
        <v>4438</v>
      </c>
      <c r="B4087">
        <v>43801</v>
      </c>
    </row>
    <row r="4088" spans="1:2">
      <c r="A4088" s="1" t="s">
        <v>135</v>
      </c>
      <c r="B4088">
        <v>43784</v>
      </c>
    </row>
    <row r="4089" spans="1:2">
      <c r="A4089" s="1" t="s">
        <v>4439</v>
      </c>
      <c r="B4089">
        <v>43830</v>
      </c>
    </row>
    <row r="4090" spans="1:2">
      <c r="A4090" s="1" t="s">
        <v>4440</v>
      </c>
      <c r="B4090">
        <v>43740</v>
      </c>
    </row>
    <row r="4091" spans="1:2">
      <c r="A4091" s="1" t="s">
        <v>4441</v>
      </c>
      <c r="B4091">
        <v>43697</v>
      </c>
    </row>
    <row r="4092" spans="1:2">
      <c r="A4092" s="1" t="s">
        <v>4442</v>
      </c>
      <c r="B4092">
        <v>43705</v>
      </c>
    </row>
    <row r="4093" spans="1:2">
      <c r="A4093" s="1" t="s">
        <v>4443</v>
      </c>
      <c r="B4093">
        <v>43815</v>
      </c>
    </row>
    <row r="4094" spans="1:2">
      <c r="A4094" s="1" t="s">
        <v>4444</v>
      </c>
      <c r="B4094">
        <v>43734</v>
      </c>
    </row>
    <row r="4095" spans="1:2">
      <c r="A4095" s="1" t="s">
        <v>4445</v>
      </c>
      <c r="B4095">
        <v>43605</v>
      </c>
    </row>
    <row r="4096" spans="1:2">
      <c r="A4096" s="1" t="s">
        <v>4446</v>
      </c>
      <c r="B4096">
        <v>43654</v>
      </c>
    </row>
    <row r="4097" spans="1:2">
      <c r="A4097" s="1" t="s">
        <v>90</v>
      </c>
      <c r="B4097">
        <v>43831</v>
      </c>
    </row>
    <row r="4098" spans="1:2">
      <c r="A4098" s="1" t="s">
        <v>4447</v>
      </c>
      <c r="B4098">
        <v>43787</v>
      </c>
    </row>
    <row r="4099" spans="1:2">
      <c r="A4099" s="1" t="s">
        <v>4448</v>
      </c>
      <c r="B4099">
        <v>43796</v>
      </c>
    </row>
    <row r="4100" spans="1:2">
      <c r="A4100" s="1" t="s">
        <v>4449</v>
      </c>
      <c r="B4100">
        <v>43819</v>
      </c>
    </row>
    <row r="4101" spans="1:2">
      <c r="A4101" s="1" t="s">
        <v>4450</v>
      </c>
      <c r="B4101">
        <v>43804</v>
      </c>
    </row>
    <row r="4102" spans="1:2">
      <c r="A4102" s="1" t="s">
        <v>4451</v>
      </c>
      <c r="B4102">
        <v>43734</v>
      </c>
    </row>
    <row r="4103" spans="1:2">
      <c r="A4103" s="1" t="s">
        <v>4452</v>
      </c>
      <c r="B4103">
        <v>43735</v>
      </c>
    </row>
    <row r="4104" spans="1:2">
      <c r="A4104" s="1" t="s">
        <v>4453</v>
      </c>
      <c r="B4104" t="s">
        <v>775</v>
      </c>
    </row>
    <row r="4105" spans="1:2">
      <c r="A4105" s="1" t="s">
        <v>4454</v>
      </c>
      <c r="B4105">
        <v>43812</v>
      </c>
    </row>
    <row r="4106" spans="1:2">
      <c r="A4106" s="1" t="s">
        <v>341</v>
      </c>
      <c r="B4106">
        <v>43784</v>
      </c>
    </row>
    <row r="4107" spans="1:2">
      <c r="A4107" s="1" t="s">
        <v>438</v>
      </c>
      <c r="B4107">
        <v>43829</v>
      </c>
    </row>
    <row r="4108" spans="1:2">
      <c r="A4108" s="1" t="s">
        <v>4455</v>
      </c>
      <c r="B4108">
        <v>43830</v>
      </c>
    </row>
    <row r="4109" spans="1:2">
      <c r="A4109" s="1" t="s">
        <v>4456</v>
      </c>
      <c r="B4109">
        <v>43808</v>
      </c>
    </row>
    <row r="4110" spans="1:2">
      <c r="A4110" s="1" t="s">
        <v>4457</v>
      </c>
      <c r="B4110">
        <v>43840</v>
      </c>
    </row>
    <row r="4111" spans="1:2">
      <c r="A4111" s="1" t="s">
        <v>4458</v>
      </c>
      <c r="B4111">
        <v>43832</v>
      </c>
    </row>
    <row r="4112" spans="1:2">
      <c r="A4112" s="1" t="s">
        <v>4459</v>
      </c>
      <c r="B4112">
        <v>43830</v>
      </c>
    </row>
    <row r="4113" spans="1:2">
      <c r="A4113" s="1" t="s">
        <v>4460</v>
      </c>
      <c r="B4113" t="s">
        <v>775</v>
      </c>
    </row>
    <row r="4114" spans="1:2">
      <c r="A4114" s="1" t="s">
        <v>4461</v>
      </c>
      <c r="B4114">
        <v>43770</v>
      </c>
    </row>
    <row r="4115" spans="1:2">
      <c r="A4115" s="1" t="s">
        <v>4462</v>
      </c>
      <c r="B4115">
        <v>43739</v>
      </c>
    </row>
    <row r="4116" spans="1:2">
      <c r="A4116" s="1" t="s">
        <v>4463</v>
      </c>
      <c r="B4116">
        <v>43644</v>
      </c>
    </row>
    <row r="4117" spans="1:2">
      <c r="A4117" s="1" t="s">
        <v>4464</v>
      </c>
      <c r="B4117">
        <v>43847</v>
      </c>
    </row>
    <row r="4118" spans="1:2">
      <c r="A4118" s="1" t="s">
        <v>4465</v>
      </c>
      <c r="B4118">
        <v>43613</v>
      </c>
    </row>
    <row r="4119" spans="1:2">
      <c r="A4119" s="1" t="s">
        <v>74</v>
      </c>
      <c r="B4119">
        <v>43845</v>
      </c>
    </row>
    <row r="4120" spans="1:2">
      <c r="A4120" s="1" t="s">
        <v>4466</v>
      </c>
      <c r="B4120">
        <v>43791</v>
      </c>
    </row>
    <row r="4121" spans="1:2">
      <c r="A4121" s="1" t="s">
        <v>4467</v>
      </c>
      <c r="B4121">
        <v>43830</v>
      </c>
    </row>
    <row r="4122" spans="1:2">
      <c r="A4122" s="1" t="s">
        <v>4468</v>
      </c>
      <c r="B4122">
        <v>43738</v>
      </c>
    </row>
    <row r="4123" spans="1:2">
      <c r="A4123" s="1" t="s">
        <v>4469</v>
      </c>
      <c r="B4123">
        <v>43830</v>
      </c>
    </row>
    <row r="4124" spans="1:2">
      <c r="A4124" s="1" t="s">
        <v>4470</v>
      </c>
      <c r="B4124">
        <v>43819</v>
      </c>
    </row>
    <row r="4125" spans="1:2">
      <c r="A4125" s="1" t="s">
        <v>4471</v>
      </c>
      <c r="B4125">
        <v>43798</v>
      </c>
    </row>
    <row r="4126" spans="1:2">
      <c r="A4126" s="1" t="s">
        <v>4472</v>
      </c>
      <c r="B4126">
        <v>43763</v>
      </c>
    </row>
    <row r="4127" spans="1:2">
      <c r="A4127" s="1" t="s">
        <v>4473</v>
      </c>
      <c r="B4127">
        <v>43724</v>
      </c>
    </row>
    <row r="4128" spans="1:2">
      <c r="A4128" s="1" t="s">
        <v>4474</v>
      </c>
      <c r="B4128">
        <v>43832</v>
      </c>
    </row>
    <row r="4129" spans="1:2">
      <c r="A4129" s="1" t="s">
        <v>4475</v>
      </c>
      <c r="B4129">
        <v>43735</v>
      </c>
    </row>
    <row r="4130" spans="1:2">
      <c r="A4130" s="1" t="s">
        <v>4476</v>
      </c>
      <c r="B4130">
        <v>43689</v>
      </c>
    </row>
    <row r="4131" spans="1:2">
      <c r="A4131" s="1" t="s">
        <v>4477</v>
      </c>
      <c r="B4131">
        <v>43830</v>
      </c>
    </row>
    <row r="4132" spans="1:2">
      <c r="A4132" s="1" t="s">
        <v>4478</v>
      </c>
      <c r="B4132">
        <v>43735</v>
      </c>
    </row>
    <row r="4133" spans="1:2">
      <c r="A4133" s="1" t="s">
        <v>4479</v>
      </c>
      <c r="B4133" t="s">
        <v>775</v>
      </c>
    </row>
    <row r="4134" spans="1:2">
      <c r="A4134" s="1" t="s">
        <v>4480</v>
      </c>
      <c r="B4134">
        <v>43864</v>
      </c>
    </row>
    <row r="4135" spans="1:2">
      <c r="A4135" s="1" t="s">
        <v>4481</v>
      </c>
      <c r="B4135">
        <v>43830</v>
      </c>
    </row>
    <row r="4136" spans="1:2">
      <c r="A4136" s="1" t="s">
        <v>4482</v>
      </c>
      <c r="B4136">
        <v>43819</v>
      </c>
    </row>
    <row r="4137" spans="1:2">
      <c r="A4137" s="1" t="s">
        <v>4483</v>
      </c>
      <c r="B4137">
        <v>43663</v>
      </c>
    </row>
    <row r="4138" spans="1:2">
      <c r="A4138" s="1" t="s">
        <v>4484</v>
      </c>
      <c r="B4138">
        <v>43805</v>
      </c>
    </row>
    <row r="4139" spans="1:2">
      <c r="A4139" s="1" t="s">
        <v>4485</v>
      </c>
      <c r="B4139">
        <v>43812</v>
      </c>
    </row>
    <row r="4140" spans="1:2">
      <c r="A4140" s="1" t="s">
        <v>4486</v>
      </c>
      <c r="B4140">
        <v>43829</v>
      </c>
    </row>
    <row r="4141" spans="1:2">
      <c r="A4141" s="1" t="s">
        <v>637</v>
      </c>
      <c r="B4141">
        <v>43815</v>
      </c>
    </row>
    <row r="4142" spans="1:2">
      <c r="A4142" s="1" t="s">
        <v>4487</v>
      </c>
      <c r="B4142">
        <v>43735</v>
      </c>
    </row>
    <row r="4143" spans="1:2">
      <c r="A4143" s="1" t="s">
        <v>4488</v>
      </c>
      <c r="B4143">
        <v>43805</v>
      </c>
    </row>
    <row r="4144" spans="1:2">
      <c r="A4144" s="1" t="s">
        <v>4489</v>
      </c>
      <c r="B4144">
        <v>43668</v>
      </c>
    </row>
    <row r="4145" spans="1:2">
      <c r="A4145" s="1" t="s">
        <v>4490</v>
      </c>
      <c r="B4145">
        <v>43795</v>
      </c>
    </row>
    <row r="4146" spans="1:2">
      <c r="A4146" s="1" t="s">
        <v>4491</v>
      </c>
      <c r="B4146">
        <v>43825</v>
      </c>
    </row>
    <row r="4147" spans="1:2">
      <c r="A4147" s="1" t="s">
        <v>4492</v>
      </c>
      <c r="B4147">
        <v>43740</v>
      </c>
    </row>
    <row r="4148" spans="1:2">
      <c r="A4148" s="1" t="s">
        <v>4493</v>
      </c>
      <c r="B4148">
        <v>43838</v>
      </c>
    </row>
    <row r="4149" spans="1:2">
      <c r="A4149" s="1" t="s">
        <v>100</v>
      </c>
      <c r="B4149">
        <v>43854</v>
      </c>
    </row>
    <row r="4150" spans="1:2">
      <c r="A4150" s="1" t="s">
        <v>4494</v>
      </c>
      <c r="B4150">
        <v>43741</v>
      </c>
    </row>
    <row r="4151" spans="1:2">
      <c r="A4151" s="1" t="s">
        <v>4495</v>
      </c>
      <c r="B4151">
        <v>43805</v>
      </c>
    </row>
    <row r="4152" spans="1:2">
      <c r="A4152" s="1" t="s">
        <v>339</v>
      </c>
      <c r="B4152">
        <v>43801</v>
      </c>
    </row>
    <row r="4153" spans="1:2">
      <c r="A4153" s="1" t="s">
        <v>4496</v>
      </c>
      <c r="B4153">
        <v>43630</v>
      </c>
    </row>
    <row r="4154" spans="1:2">
      <c r="A4154" s="1" t="s">
        <v>4497</v>
      </c>
      <c r="B4154">
        <v>43738</v>
      </c>
    </row>
    <row r="4155" spans="1:2">
      <c r="A4155" s="1" t="s">
        <v>4498</v>
      </c>
      <c r="B4155" t="s">
        <v>775</v>
      </c>
    </row>
    <row r="4156" spans="1:2">
      <c r="A4156" s="1" t="s">
        <v>4499</v>
      </c>
      <c r="B4156">
        <v>43826</v>
      </c>
    </row>
    <row r="4157" spans="1:2">
      <c r="A4157" s="1" t="s">
        <v>4500</v>
      </c>
      <c r="B4157">
        <v>43738</v>
      </c>
    </row>
    <row r="4158" spans="1:2">
      <c r="A4158" s="1" t="s">
        <v>4501</v>
      </c>
      <c r="B4158">
        <v>43818</v>
      </c>
    </row>
    <row r="4159" spans="1:2">
      <c r="A4159" s="1" t="s">
        <v>4502</v>
      </c>
      <c r="B4159">
        <v>43795</v>
      </c>
    </row>
    <row r="4160" spans="1:2">
      <c r="A4160" s="1" t="s">
        <v>4503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4504</v>
      </c>
      <c r="B4162">
        <v>43731</v>
      </c>
    </row>
    <row r="4163" spans="1:2">
      <c r="A4163" s="1" t="s">
        <v>4505</v>
      </c>
      <c r="B4163" t="s">
        <v>775</v>
      </c>
    </row>
    <row r="4164" spans="1:2">
      <c r="A4164" s="1" t="s">
        <v>4506</v>
      </c>
      <c r="B4164">
        <v>43825</v>
      </c>
    </row>
    <row r="4165" spans="1:2">
      <c r="A4165" s="1" t="s">
        <v>4507</v>
      </c>
      <c r="B4165">
        <v>43831</v>
      </c>
    </row>
    <row r="4166" spans="1:2">
      <c r="A4166" s="1" t="s">
        <v>4508</v>
      </c>
      <c r="B4166">
        <v>43784</v>
      </c>
    </row>
    <row r="4167" spans="1:2">
      <c r="A4167" s="1" t="s">
        <v>4509</v>
      </c>
      <c r="B4167">
        <v>43817</v>
      </c>
    </row>
    <row r="4168" spans="1:2">
      <c r="A4168" s="1" t="s">
        <v>4510</v>
      </c>
      <c r="B4168">
        <v>43594</v>
      </c>
    </row>
    <row r="4169" spans="1:2">
      <c r="A4169" s="1" t="s">
        <v>4511</v>
      </c>
      <c r="B4169">
        <v>43781</v>
      </c>
    </row>
    <row r="4170" spans="1:2">
      <c r="A4170" s="1" t="s">
        <v>4512</v>
      </c>
      <c r="B4170">
        <v>43742</v>
      </c>
    </row>
    <row r="4171" spans="1:2">
      <c r="A4171" s="1" t="s">
        <v>4513</v>
      </c>
      <c r="B4171">
        <v>43613</v>
      </c>
    </row>
    <row r="4172" spans="1:2">
      <c r="A4172" s="1" t="s">
        <v>4514</v>
      </c>
      <c r="B4172">
        <v>43784</v>
      </c>
    </row>
    <row r="4173" spans="1:2">
      <c r="A4173" s="1" t="s">
        <v>4515</v>
      </c>
      <c r="B4173">
        <v>43804</v>
      </c>
    </row>
    <row r="4174" spans="1:2">
      <c r="A4174" s="1" t="s">
        <v>4516</v>
      </c>
      <c r="B4174">
        <v>43844</v>
      </c>
    </row>
    <row r="4175" spans="1:2">
      <c r="A4175" s="1" t="s">
        <v>4517</v>
      </c>
      <c r="B4175">
        <v>43825</v>
      </c>
    </row>
    <row r="4176" spans="1:2">
      <c r="A4176" s="1" t="s">
        <v>4518</v>
      </c>
      <c r="B4176">
        <v>43733</v>
      </c>
    </row>
    <row r="4177" spans="1:2">
      <c r="A4177" s="1" t="s">
        <v>4519</v>
      </c>
      <c r="B4177">
        <v>43805</v>
      </c>
    </row>
    <row r="4178" spans="1:2">
      <c r="A4178" s="1" t="s">
        <v>4520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4521</v>
      </c>
      <c r="B4180">
        <v>43804</v>
      </c>
    </row>
    <row r="4181" spans="1:2">
      <c r="A4181" s="1" t="s">
        <v>4522</v>
      </c>
      <c r="B4181">
        <v>43784</v>
      </c>
    </row>
    <row r="4182" spans="1:2">
      <c r="A4182" s="1" t="s">
        <v>4523</v>
      </c>
      <c r="B4182">
        <v>43859</v>
      </c>
    </row>
    <row r="4183" spans="1:2">
      <c r="A4183" s="1" t="s">
        <v>4524</v>
      </c>
      <c r="B4183">
        <v>43787</v>
      </c>
    </row>
    <row r="4184" spans="1:2">
      <c r="A4184" s="1" t="s">
        <v>4525</v>
      </c>
      <c r="B4184">
        <v>43831</v>
      </c>
    </row>
    <row r="4185" spans="1:2">
      <c r="A4185" s="1" t="s">
        <v>4526</v>
      </c>
      <c r="B4185">
        <v>43735</v>
      </c>
    </row>
    <row r="4186" spans="1:2">
      <c r="A4186" s="1" t="s">
        <v>4527</v>
      </c>
      <c r="B4186">
        <v>43815</v>
      </c>
    </row>
    <row r="4187" spans="1:2">
      <c r="A4187" s="1" t="s">
        <v>4528</v>
      </c>
      <c r="B4187">
        <v>43734</v>
      </c>
    </row>
    <row r="4188" spans="1:2">
      <c r="A4188" s="1" t="s">
        <v>4529</v>
      </c>
      <c r="B4188">
        <v>43798</v>
      </c>
    </row>
    <row r="4189" spans="1:2">
      <c r="A4189" s="1" t="s">
        <v>4530</v>
      </c>
      <c r="B4189">
        <v>43784</v>
      </c>
    </row>
    <row r="4190" spans="1:2">
      <c r="A4190" s="1" t="s">
        <v>4531</v>
      </c>
      <c r="B4190">
        <v>43739</v>
      </c>
    </row>
    <row r="4191" spans="1:2">
      <c r="A4191" s="1" t="s">
        <v>4532</v>
      </c>
      <c r="B4191">
        <v>43738</v>
      </c>
    </row>
    <row r="4192" spans="1:2">
      <c r="A4192" s="1" t="s">
        <v>204</v>
      </c>
      <c r="B4192">
        <v>43844</v>
      </c>
    </row>
    <row r="4193" spans="1:2">
      <c r="A4193" s="1" t="s">
        <v>4533</v>
      </c>
      <c r="B4193">
        <v>43830</v>
      </c>
    </row>
    <row r="4194" spans="1:2">
      <c r="A4194" s="1" t="s">
        <v>4534</v>
      </c>
      <c r="B4194">
        <v>43830</v>
      </c>
    </row>
    <row r="4195" spans="1:2">
      <c r="A4195" s="1" t="s">
        <v>4535</v>
      </c>
      <c r="B4195">
        <v>43830</v>
      </c>
    </row>
    <row r="4196" spans="1:2">
      <c r="A4196" s="1" t="s">
        <v>4536</v>
      </c>
      <c r="B4196">
        <v>43803</v>
      </c>
    </row>
    <row r="4197" spans="1:2">
      <c r="A4197" s="1" t="s">
        <v>4537</v>
      </c>
      <c r="B4197">
        <v>43739</v>
      </c>
    </row>
    <row r="4198" spans="1:2">
      <c r="A4198" s="1" t="s">
        <v>4538</v>
      </c>
      <c r="B4198">
        <v>43819</v>
      </c>
    </row>
    <row r="4199" spans="1:2">
      <c r="A4199" s="1" t="s">
        <v>104</v>
      </c>
      <c r="B4199">
        <v>43812</v>
      </c>
    </row>
    <row r="4200" spans="1:2">
      <c r="A4200" s="1" t="s">
        <v>195</v>
      </c>
      <c r="B4200">
        <v>43847</v>
      </c>
    </row>
    <row r="4201" spans="1:2">
      <c r="A4201" s="1" t="s">
        <v>4539</v>
      </c>
      <c r="B4201">
        <v>43511</v>
      </c>
    </row>
    <row r="4202" spans="1:2">
      <c r="A4202" s="1" t="s">
        <v>4540</v>
      </c>
      <c r="B4202">
        <v>43812</v>
      </c>
    </row>
    <row r="4203" spans="1:2">
      <c r="A4203" s="1" t="s">
        <v>4541</v>
      </c>
      <c r="B4203">
        <v>43825</v>
      </c>
    </row>
    <row r="4204" spans="1:2">
      <c r="A4204" s="1" t="s">
        <v>4542</v>
      </c>
      <c r="B4204">
        <v>43826</v>
      </c>
    </row>
    <row r="4205" spans="1:2">
      <c r="A4205" s="1" t="s">
        <v>4543</v>
      </c>
      <c r="B4205">
        <v>43819</v>
      </c>
    </row>
    <row r="4206" spans="1:2">
      <c r="A4206" s="1" t="s">
        <v>4544</v>
      </c>
      <c r="B4206">
        <v>43607</v>
      </c>
    </row>
    <row r="4207" spans="1:2">
      <c r="A4207" s="1" t="s">
        <v>106</v>
      </c>
      <c r="B4207">
        <v>43879</v>
      </c>
    </row>
    <row r="4208" spans="1:2">
      <c r="A4208" s="1" t="s">
        <v>193</v>
      </c>
      <c r="B4208">
        <v>43741</v>
      </c>
    </row>
    <row r="4209" spans="1:2">
      <c r="A4209" s="1" t="s">
        <v>4545</v>
      </c>
      <c r="B4209">
        <v>43738</v>
      </c>
    </row>
    <row r="4210" spans="1:2">
      <c r="A4210" s="1" t="s">
        <v>4546</v>
      </c>
      <c r="B4210" t="s">
        <v>775</v>
      </c>
    </row>
    <row r="4211" spans="1:2">
      <c r="A4211" s="1" t="s">
        <v>4547</v>
      </c>
      <c r="B4211">
        <v>43758</v>
      </c>
    </row>
    <row r="4212" spans="1:2">
      <c r="A4212" s="1" t="s">
        <v>4548</v>
      </c>
      <c r="B4212">
        <v>43689</v>
      </c>
    </row>
    <row r="4213" spans="1:2">
      <c r="A4213" s="1" t="s">
        <v>4549</v>
      </c>
      <c r="B4213">
        <v>43823</v>
      </c>
    </row>
    <row r="4214" spans="1:2">
      <c r="A4214" s="1" t="s">
        <v>4550</v>
      </c>
      <c r="B4214">
        <v>43832</v>
      </c>
    </row>
    <row r="4215" spans="1:2">
      <c r="A4215" s="1" t="s">
        <v>4551</v>
      </c>
      <c r="B4215">
        <v>43819</v>
      </c>
    </row>
    <row r="4216" spans="1:2">
      <c r="A4216" s="1" t="s">
        <v>673</v>
      </c>
      <c r="B4216">
        <v>43829</v>
      </c>
    </row>
    <row r="4217" spans="1:2">
      <c r="A4217" s="1" t="s">
        <v>4552</v>
      </c>
      <c r="B4217">
        <v>43735</v>
      </c>
    </row>
    <row r="4218" spans="1:2">
      <c r="A4218" s="1" t="s">
        <v>41</v>
      </c>
      <c r="B4218">
        <v>43808</v>
      </c>
    </row>
    <row r="4219" spans="1:2">
      <c r="A4219" s="1" t="s">
        <v>4553</v>
      </c>
      <c r="B4219">
        <v>43802</v>
      </c>
    </row>
    <row r="4220" spans="1:2">
      <c r="A4220" s="1" t="s">
        <v>4554</v>
      </c>
      <c r="B4220">
        <v>43818</v>
      </c>
    </row>
    <row r="4221" spans="1:2">
      <c r="A4221" s="1" t="s">
        <v>4555</v>
      </c>
      <c r="B4221">
        <v>43798</v>
      </c>
    </row>
    <row r="4222" spans="1:2">
      <c r="A4222" s="1" t="s">
        <v>4556</v>
      </c>
      <c r="B4222" t="s">
        <v>775</v>
      </c>
    </row>
    <row r="4223" spans="1:2">
      <c r="A4223" s="1" t="s">
        <v>306</v>
      </c>
      <c r="B4223">
        <v>43815</v>
      </c>
    </row>
    <row r="4224" spans="1:2">
      <c r="A4224" s="1" t="s">
        <v>4557</v>
      </c>
      <c r="B4224">
        <v>43798</v>
      </c>
    </row>
    <row r="4225" spans="1:2">
      <c r="A4225" s="1" t="s">
        <v>4558</v>
      </c>
      <c r="B4225">
        <v>43749</v>
      </c>
    </row>
    <row r="4226" spans="1:2">
      <c r="A4226" s="1" t="s">
        <v>4559</v>
      </c>
      <c r="B4226">
        <v>43826</v>
      </c>
    </row>
    <row r="4227" spans="1:2">
      <c r="A4227" s="1" t="s">
        <v>4560</v>
      </c>
      <c r="B4227">
        <v>43779</v>
      </c>
    </row>
    <row r="4228" spans="1:2">
      <c r="A4228" s="1" t="s">
        <v>4561</v>
      </c>
      <c r="B4228">
        <v>43847</v>
      </c>
    </row>
    <row r="4229" spans="1:2">
      <c r="A4229" s="1" t="s">
        <v>4562</v>
      </c>
      <c r="B4229">
        <v>43644</v>
      </c>
    </row>
    <row r="4230" spans="1:2">
      <c r="A4230" s="1" t="s">
        <v>4563</v>
      </c>
      <c r="B4230">
        <v>43832</v>
      </c>
    </row>
    <row r="4231" spans="1:2">
      <c r="A4231" s="1" t="s">
        <v>647</v>
      </c>
      <c r="B4231">
        <v>43861</v>
      </c>
    </row>
    <row r="4232" spans="1:2">
      <c r="A4232" s="1" t="s">
        <v>4564</v>
      </c>
      <c r="B4232">
        <v>43854</v>
      </c>
    </row>
    <row r="4233" spans="1:2">
      <c r="A4233" s="1" t="s">
        <v>4565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4566</v>
      </c>
      <c r="B4235">
        <v>43738</v>
      </c>
    </row>
    <row r="4236" spans="1:2">
      <c r="A4236" s="1" t="s">
        <v>4567</v>
      </c>
      <c r="B4236">
        <v>43740</v>
      </c>
    </row>
    <row r="4237" spans="1:2">
      <c r="A4237" s="1" t="s">
        <v>4568</v>
      </c>
      <c r="B4237">
        <v>43734</v>
      </c>
    </row>
    <row r="4238" spans="1:2">
      <c r="A4238" s="1" t="s">
        <v>4569</v>
      </c>
      <c r="B4238" t="s">
        <v>775</v>
      </c>
    </row>
    <row r="4239" spans="1:2">
      <c r="A4239" s="1" t="s">
        <v>4570</v>
      </c>
      <c r="B4239">
        <v>43826</v>
      </c>
    </row>
    <row r="4240" spans="1:2">
      <c r="A4240" s="1" t="s">
        <v>4571</v>
      </c>
      <c r="B4240">
        <v>43816</v>
      </c>
    </row>
    <row r="4241" spans="1:2">
      <c r="A4241" s="1" t="s">
        <v>4572</v>
      </c>
      <c r="B4241">
        <v>43818</v>
      </c>
    </row>
    <row r="4242" spans="1:2">
      <c r="A4242" s="1" t="s">
        <v>4573</v>
      </c>
      <c r="B4242">
        <v>43832</v>
      </c>
    </row>
    <row r="4243" spans="1:2">
      <c r="A4243" s="1" t="s">
        <v>4574</v>
      </c>
      <c r="B4243">
        <v>43843</v>
      </c>
    </row>
    <row r="4244" spans="1:2">
      <c r="A4244" s="1" t="s">
        <v>4575</v>
      </c>
      <c r="B4244">
        <v>43781</v>
      </c>
    </row>
    <row r="4245" spans="1:2">
      <c r="A4245" s="1" t="s">
        <v>4576</v>
      </c>
      <c r="B4245">
        <v>43825</v>
      </c>
    </row>
    <row r="4246" spans="1:2">
      <c r="A4246" s="1" t="s">
        <v>4577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4578</v>
      </c>
      <c r="B4248">
        <v>43825</v>
      </c>
    </row>
    <row r="4249" spans="1:2">
      <c r="A4249" s="1" t="s">
        <v>4579</v>
      </c>
      <c r="B4249">
        <v>43825</v>
      </c>
    </row>
    <row r="4250" spans="1:2">
      <c r="A4250" s="1" t="s">
        <v>4580</v>
      </c>
      <c r="B4250">
        <v>43735</v>
      </c>
    </row>
    <row r="4251" spans="1:2">
      <c r="A4251" s="1" t="s">
        <v>4581</v>
      </c>
      <c r="B4251">
        <v>43853</v>
      </c>
    </row>
    <row r="4252" spans="1:2">
      <c r="A4252" s="1" t="s">
        <v>4582</v>
      </c>
      <c r="B4252">
        <v>43602</v>
      </c>
    </row>
    <row r="4253" spans="1:2">
      <c r="A4253" s="1" t="s">
        <v>4583</v>
      </c>
      <c r="B4253">
        <v>43817</v>
      </c>
    </row>
    <row r="4254" spans="1:2">
      <c r="A4254" s="1" t="s">
        <v>4584</v>
      </c>
      <c r="B4254">
        <v>43775</v>
      </c>
    </row>
    <row r="4255" spans="1:2">
      <c r="A4255" s="1" t="s">
        <v>4585</v>
      </c>
      <c r="B4255">
        <v>43614</v>
      </c>
    </row>
    <row r="4256" spans="1:2">
      <c r="A4256" s="1" t="s">
        <v>4586</v>
      </c>
      <c r="B4256">
        <v>43706</v>
      </c>
    </row>
    <row r="4257" spans="1:2">
      <c r="A4257" s="1" t="s">
        <v>121</v>
      </c>
      <c r="B4257">
        <v>43809</v>
      </c>
    </row>
    <row r="4258" spans="1:2">
      <c r="A4258" s="1" t="s">
        <v>4587</v>
      </c>
      <c r="B4258">
        <v>43588</v>
      </c>
    </row>
    <row r="4259" spans="1:2">
      <c r="A4259" s="1" t="s">
        <v>4588</v>
      </c>
      <c r="B4259">
        <v>43830</v>
      </c>
    </row>
    <row r="4260" spans="1:2">
      <c r="A4260" s="1" t="s">
        <v>4589</v>
      </c>
      <c r="B4260">
        <v>43734</v>
      </c>
    </row>
    <row r="4261" spans="1:2">
      <c r="A4261" s="1" t="s">
        <v>4590</v>
      </c>
      <c r="B4261">
        <v>43753</v>
      </c>
    </row>
    <row r="4262" spans="1:2">
      <c r="A4262" s="1" t="s">
        <v>4591</v>
      </c>
      <c r="B4262">
        <v>43798</v>
      </c>
    </row>
    <row r="4263" spans="1:2">
      <c r="A4263" s="1" t="s">
        <v>4592</v>
      </c>
      <c r="B4263">
        <v>43812</v>
      </c>
    </row>
    <row r="4264" spans="1:2">
      <c r="A4264" s="1" t="s">
        <v>428</v>
      </c>
      <c r="B4264">
        <v>43826</v>
      </c>
    </row>
    <row r="4265" spans="1:2">
      <c r="A4265" s="1" t="s">
        <v>4593</v>
      </c>
      <c r="B4265">
        <v>43819</v>
      </c>
    </row>
    <row r="4266" spans="1:2">
      <c r="A4266" s="1" t="s">
        <v>4594</v>
      </c>
      <c r="B4266">
        <v>43800</v>
      </c>
    </row>
    <row r="4267" spans="1:2">
      <c r="A4267" s="1" t="s">
        <v>377</v>
      </c>
      <c r="B4267">
        <v>43776</v>
      </c>
    </row>
    <row r="4268" spans="1:2">
      <c r="A4268" s="1" t="s">
        <v>4595</v>
      </c>
      <c r="B4268">
        <v>43801</v>
      </c>
    </row>
    <row r="4269" spans="1:2">
      <c r="A4269" s="1" t="s">
        <v>46</v>
      </c>
      <c r="B4269">
        <v>43845</v>
      </c>
    </row>
    <row r="4270" spans="1:2">
      <c r="A4270" s="1" t="s">
        <v>4596</v>
      </c>
      <c r="B4270">
        <v>43735</v>
      </c>
    </row>
    <row r="4271" spans="1:2">
      <c r="A4271" s="1" t="s">
        <v>4597</v>
      </c>
      <c r="B4271">
        <v>43802</v>
      </c>
    </row>
    <row r="4272" spans="1:2">
      <c r="A4272" s="1" t="s">
        <v>4598</v>
      </c>
      <c r="B4272" t="s">
        <v>775</v>
      </c>
    </row>
    <row r="4273" spans="1:2">
      <c r="A4273" s="1" t="s">
        <v>4599</v>
      </c>
      <c r="B4273">
        <v>43777</v>
      </c>
    </row>
    <row r="4274" spans="1:2">
      <c r="A4274" s="1" t="s">
        <v>4600</v>
      </c>
      <c r="B4274">
        <v>43605</v>
      </c>
    </row>
    <row r="4275" spans="1:2">
      <c r="A4275" s="1" t="s">
        <v>4601</v>
      </c>
      <c r="B4275">
        <v>43735</v>
      </c>
    </row>
    <row r="4276" spans="1:2">
      <c r="A4276" s="1" t="s">
        <v>4602</v>
      </c>
      <c r="B4276">
        <v>43742</v>
      </c>
    </row>
    <row r="4277" spans="1:2">
      <c r="A4277" s="1" t="s">
        <v>85</v>
      </c>
      <c r="B4277">
        <v>43801</v>
      </c>
    </row>
    <row r="4278" spans="1:2">
      <c r="A4278" s="1" t="s">
        <v>4603</v>
      </c>
      <c r="B4278">
        <v>43840</v>
      </c>
    </row>
    <row r="4279" spans="1:2">
      <c r="A4279" s="1" t="s">
        <v>4604</v>
      </c>
      <c r="B4279">
        <v>43738</v>
      </c>
    </row>
    <row r="4280" spans="1:2">
      <c r="A4280" s="1" t="s">
        <v>4605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4606</v>
      </c>
      <c r="B4282">
        <v>43825</v>
      </c>
    </row>
    <row r="4283" spans="1:2">
      <c r="A4283" s="1" t="s">
        <v>4607</v>
      </c>
      <c r="B4283">
        <v>43789</v>
      </c>
    </row>
    <row r="4284" spans="1:2">
      <c r="A4284" s="1" t="s">
        <v>4608</v>
      </c>
      <c r="B4284">
        <v>43727</v>
      </c>
    </row>
    <row r="4285" spans="1:2">
      <c r="A4285" s="1" t="s">
        <v>380</v>
      </c>
      <c r="B4285">
        <v>43804</v>
      </c>
    </row>
    <row r="4286" spans="1:2">
      <c r="A4286" s="1" t="s">
        <v>4609</v>
      </c>
      <c r="B4286">
        <v>43825</v>
      </c>
    </row>
    <row r="4287" spans="1:2">
      <c r="A4287" s="1" t="s">
        <v>4610</v>
      </c>
      <c r="B4287">
        <v>43627</v>
      </c>
    </row>
    <row r="4288" spans="1:2">
      <c r="A4288" s="1" t="s">
        <v>4611</v>
      </c>
      <c r="B4288">
        <v>43607</v>
      </c>
    </row>
    <row r="4289" spans="1:2">
      <c r="A4289" s="1" t="s">
        <v>4612</v>
      </c>
      <c r="B4289">
        <v>43844</v>
      </c>
    </row>
    <row r="4290" spans="1:2">
      <c r="A4290" s="1" t="s">
        <v>4613</v>
      </c>
      <c r="B4290">
        <v>43832</v>
      </c>
    </row>
    <row r="4291" spans="1:2">
      <c r="A4291" s="1" t="s">
        <v>4614</v>
      </c>
      <c r="B4291">
        <v>43823</v>
      </c>
    </row>
    <row r="4292" spans="1:2">
      <c r="A4292" s="1" t="s">
        <v>4615</v>
      </c>
      <c r="B4292">
        <v>43810</v>
      </c>
    </row>
    <row r="4293" spans="1:2">
      <c r="A4293" s="1" t="s">
        <v>4616</v>
      </c>
      <c r="B4293">
        <v>43733</v>
      </c>
    </row>
    <row r="4294" spans="1:2">
      <c r="A4294" s="1" t="s">
        <v>4617</v>
      </c>
      <c r="B4294">
        <v>43812</v>
      </c>
    </row>
    <row r="4295" spans="1:2">
      <c r="A4295" s="1" t="s">
        <v>4618</v>
      </c>
      <c r="B4295">
        <v>43740</v>
      </c>
    </row>
    <row r="4296" spans="1:2">
      <c r="A4296" s="1" t="s">
        <v>128</v>
      </c>
      <c r="B4296">
        <v>43845</v>
      </c>
    </row>
    <row r="4297" spans="1:2">
      <c r="A4297" s="1" t="s">
        <v>4619</v>
      </c>
      <c r="B4297">
        <v>43804</v>
      </c>
    </row>
    <row r="4298" spans="1:2">
      <c r="A4298" s="1" t="s">
        <v>4620</v>
      </c>
      <c r="B4298">
        <v>43851</v>
      </c>
    </row>
    <row r="4299" spans="1:2">
      <c r="A4299" s="1" t="s">
        <v>4621</v>
      </c>
      <c r="B4299">
        <v>43845</v>
      </c>
    </row>
    <row r="4300" spans="1:2">
      <c r="A4300" s="1" t="s">
        <v>4622</v>
      </c>
      <c r="B4300">
        <v>43830</v>
      </c>
    </row>
    <row r="4301" spans="1:2">
      <c r="A4301" s="1" t="s">
        <v>4623</v>
      </c>
      <c r="B4301">
        <v>43647</v>
      </c>
    </row>
    <row r="4302" spans="1:2">
      <c r="A4302" s="1" t="s">
        <v>4624</v>
      </c>
      <c r="B4302" t="s">
        <v>775</v>
      </c>
    </row>
    <row r="4303" spans="1:2">
      <c r="A4303" s="1" t="s">
        <v>4625</v>
      </c>
      <c r="B4303">
        <v>43826</v>
      </c>
    </row>
    <row r="4304" spans="1:2">
      <c r="A4304" s="1" t="s">
        <v>693</v>
      </c>
      <c r="B4304">
        <v>43788</v>
      </c>
    </row>
    <row r="4305" spans="1:2">
      <c r="A4305" s="1" t="s">
        <v>4626</v>
      </c>
      <c r="B4305">
        <v>43756</v>
      </c>
    </row>
    <row r="4306" spans="1:2">
      <c r="A4306" s="1" t="s">
        <v>4627</v>
      </c>
      <c r="B4306" t="s">
        <v>775</v>
      </c>
    </row>
    <row r="4307" spans="1:2">
      <c r="A4307" s="1" t="s">
        <v>4628</v>
      </c>
      <c r="B4307">
        <v>43739</v>
      </c>
    </row>
    <row r="4308" spans="1:2">
      <c r="A4308" s="1" t="s">
        <v>96</v>
      </c>
      <c r="B4308">
        <v>43819</v>
      </c>
    </row>
    <row r="4309" spans="1:2">
      <c r="A4309" s="1" t="s">
        <v>4629</v>
      </c>
      <c r="B4309">
        <v>43818</v>
      </c>
    </row>
    <row r="4310" spans="1:2">
      <c r="A4310" s="1" t="s">
        <v>4630</v>
      </c>
      <c r="B4310">
        <v>43735</v>
      </c>
    </row>
    <row r="4311" spans="1:2">
      <c r="A4311" s="1" t="s">
        <v>4631</v>
      </c>
      <c r="B4311">
        <v>43774</v>
      </c>
    </row>
    <row r="4312" spans="1:2">
      <c r="A4312" s="1" t="s">
        <v>4632</v>
      </c>
      <c r="B4312">
        <v>43830</v>
      </c>
    </row>
    <row r="4313" spans="1:2">
      <c r="A4313" s="1" t="s">
        <v>4633</v>
      </c>
      <c r="B4313">
        <v>43784</v>
      </c>
    </row>
    <row r="4314" spans="1:2">
      <c r="A4314" s="1" t="s">
        <v>4634</v>
      </c>
      <c r="B4314">
        <v>43804</v>
      </c>
    </row>
    <row r="4315" spans="1:2">
      <c r="A4315" s="1" t="s">
        <v>4635</v>
      </c>
      <c r="B4315">
        <v>43819</v>
      </c>
    </row>
    <row r="4316" spans="1:2">
      <c r="A4316" s="1" t="s">
        <v>4636</v>
      </c>
      <c r="B4316">
        <v>43784</v>
      </c>
    </row>
    <row r="4317" spans="1:2">
      <c r="A4317" s="1" t="s">
        <v>4637</v>
      </c>
      <c r="B4317">
        <v>43626</v>
      </c>
    </row>
    <row r="4318" spans="1:2">
      <c r="A4318" s="1" t="s">
        <v>4638</v>
      </c>
      <c r="B4318">
        <v>43740</v>
      </c>
    </row>
    <row r="4319" spans="1:2">
      <c r="A4319" s="1" t="s">
        <v>4639</v>
      </c>
      <c r="B4319">
        <v>43783</v>
      </c>
    </row>
    <row r="4320" spans="1:2">
      <c r="A4320" s="1" t="s">
        <v>4640</v>
      </c>
      <c r="B4320">
        <v>43789</v>
      </c>
    </row>
    <row r="4321" spans="1:2">
      <c r="A4321" s="1" t="s">
        <v>4641</v>
      </c>
      <c r="B4321">
        <v>43748</v>
      </c>
    </row>
    <row r="4322" spans="1:2">
      <c r="A4322" s="1" t="s">
        <v>4642</v>
      </c>
      <c r="B4322">
        <v>43770</v>
      </c>
    </row>
    <row r="4323" spans="1:2">
      <c r="A4323" s="1" t="s">
        <v>4643</v>
      </c>
      <c r="B4323">
        <v>43845</v>
      </c>
    </row>
    <row r="4324" spans="1:2">
      <c r="A4324" s="1" t="s">
        <v>4644</v>
      </c>
      <c r="B4324">
        <v>43805</v>
      </c>
    </row>
    <row r="4325" spans="1:2">
      <c r="A4325" s="1" t="s">
        <v>4645</v>
      </c>
      <c r="B4325">
        <v>43746</v>
      </c>
    </row>
    <row r="4326" spans="1:2">
      <c r="A4326" s="1" t="s">
        <v>4646</v>
      </c>
      <c r="B4326">
        <v>43763</v>
      </c>
    </row>
    <row r="4327" spans="1:2">
      <c r="A4327" s="1" t="s">
        <v>4647</v>
      </c>
      <c r="B4327">
        <v>43762</v>
      </c>
    </row>
    <row r="4328" spans="1:2">
      <c r="A4328" s="1" t="s">
        <v>4648</v>
      </c>
      <c r="B4328">
        <v>43826</v>
      </c>
    </row>
    <row r="4329" spans="1:2">
      <c r="A4329" s="1" t="s">
        <v>4649</v>
      </c>
      <c r="B4329">
        <v>43626</v>
      </c>
    </row>
    <row r="4330" spans="1:2">
      <c r="A4330" s="1" t="s">
        <v>4650</v>
      </c>
      <c r="B4330">
        <v>43819</v>
      </c>
    </row>
    <row r="4331" spans="1:2">
      <c r="A4331" s="1" t="s">
        <v>4651</v>
      </c>
      <c r="B4331">
        <v>43819</v>
      </c>
    </row>
    <row r="4332" spans="1:2">
      <c r="A4332" s="1" t="s">
        <v>4652</v>
      </c>
      <c r="B4332">
        <v>43739</v>
      </c>
    </row>
    <row r="4333" spans="1:2">
      <c r="A4333" s="1" t="s">
        <v>313</v>
      </c>
      <c r="B4333">
        <v>43809</v>
      </c>
    </row>
    <row r="4334" spans="1:2">
      <c r="A4334" s="1" t="s">
        <v>4653</v>
      </c>
      <c r="B4334">
        <v>43816</v>
      </c>
    </row>
    <row r="4335" spans="1:2">
      <c r="A4335" s="1" t="s">
        <v>4654</v>
      </c>
      <c r="B4335">
        <v>43790</v>
      </c>
    </row>
    <row r="4336" spans="1:2">
      <c r="A4336" s="1" t="s">
        <v>4655</v>
      </c>
      <c r="B4336">
        <v>43777</v>
      </c>
    </row>
    <row r="4337" spans="1:2">
      <c r="A4337" s="1" t="s">
        <v>4656</v>
      </c>
      <c r="B4337">
        <v>43830</v>
      </c>
    </row>
    <row r="4338" spans="1:2">
      <c r="A4338" s="1" t="s">
        <v>4657</v>
      </c>
      <c r="B4338" t="s">
        <v>775</v>
      </c>
    </row>
    <row r="4339" spans="1:2">
      <c r="A4339" s="1" t="s">
        <v>4658</v>
      </c>
      <c r="B4339">
        <v>43830</v>
      </c>
    </row>
    <row r="4340" spans="1:2">
      <c r="A4340" s="1" t="s">
        <v>4659</v>
      </c>
      <c r="B4340">
        <v>43816</v>
      </c>
    </row>
    <row r="4341" spans="1:2">
      <c r="A4341" s="1" t="s">
        <v>4660</v>
      </c>
      <c r="B4341">
        <v>43814</v>
      </c>
    </row>
    <row r="4342" spans="1:2">
      <c r="A4342" s="1" t="s">
        <v>4661</v>
      </c>
      <c r="B4342">
        <v>43812</v>
      </c>
    </row>
    <row r="4343" spans="1:2">
      <c r="A4343" s="1" t="s">
        <v>109</v>
      </c>
      <c r="B4343">
        <v>43861</v>
      </c>
    </row>
    <row r="4344" spans="1:2">
      <c r="A4344" s="1" t="s">
        <v>4662</v>
      </c>
      <c r="B4344">
        <v>43819</v>
      </c>
    </row>
    <row r="4345" spans="1:2">
      <c r="A4345" s="1" t="s">
        <v>4663</v>
      </c>
      <c r="B4345">
        <v>43640</v>
      </c>
    </row>
    <row r="4346" spans="1:2">
      <c r="A4346" s="1" t="s">
        <v>4664</v>
      </c>
      <c r="B4346">
        <v>43693</v>
      </c>
    </row>
    <row r="4347" spans="1:2">
      <c r="A4347" s="1" t="s">
        <v>4665</v>
      </c>
      <c r="B4347">
        <v>43816</v>
      </c>
    </row>
    <row r="4348" spans="1:2">
      <c r="A4348" s="1" t="s">
        <v>4666</v>
      </c>
      <c r="B4348">
        <v>43798</v>
      </c>
    </row>
    <row r="4349" spans="1:2">
      <c r="A4349" s="1" t="s">
        <v>4667</v>
      </c>
      <c r="B4349">
        <v>43819</v>
      </c>
    </row>
    <row r="4350" spans="1:2">
      <c r="A4350" s="1" t="s">
        <v>4668</v>
      </c>
      <c r="B4350">
        <v>43740</v>
      </c>
    </row>
    <row r="4351" spans="1:2">
      <c r="A4351" s="1" t="s">
        <v>4669</v>
      </c>
      <c r="B4351">
        <v>43819</v>
      </c>
    </row>
    <row r="4352" spans="1:2">
      <c r="A4352" s="1" t="s">
        <v>310</v>
      </c>
      <c r="B4352">
        <v>43871</v>
      </c>
    </row>
    <row r="4353" spans="1:2">
      <c r="A4353" s="1" t="s">
        <v>4670</v>
      </c>
      <c r="B4353">
        <v>43738</v>
      </c>
    </row>
    <row r="4354" spans="1:2">
      <c r="A4354" s="1" t="s">
        <v>4671</v>
      </c>
      <c r="B4354">
        <v>43738</v>
      </c>
    </row>
    <row r="4355" spans="1:2">
      <c r="A4355" s="1" t="s">
        <v>4672</v>
      </c>
      <c r="B4355">
        <v>43735</v>
      </c>
    </row>
    <row r="4356" spans="1:2">
      <c r="A4356" s="1" t="s">
        <v>4673</v>
      </c>
      <c r="B4356">
        <v>43803</v>
      </c>
    </row>
    <row r="4357" spans="1:2">
      <c r="A4357" s="1" t="s">
        <v>4674</v>
      </c>
      <c r="B4357" t="s">
        <v>775</v>
      </c>
    </row>
    <row r="4358" spans="1:2">
      <c r="A4358" s="1" t="s">
        <v>4675</v>
      </c>
      <c r="B4358">
        <v>43605</v>
      </c>
    </row>
    <row r="4359" spans="1:2">
      <c r="A4359" s="1" t="s">
        <v>4676</v>
      </c>
      <c r="B4359">
        <v>43819</v>
      </c>
    </row>
    <row r="4360" spans="1:2">
      <c r="A4360" s="1" t="s">
        <v>4677</v>
      </c>
      <c r="B4360">
        <v>43825</v>
      </c>
    </row>
    <row r="4361" spans="1:2">
      <c r="A4361" s="1" t="s">
        <v>4678</v>
      </c>
      <c r="B4361">
        <v>43593</v>
      </c>
    </row>
    <row r="4362" spans="1:2">
      <c r="A4362" s="1" t="s">
        <v>458</v>
      </c>
      <c r="B4362">
        <v>43770</v>
      </c>
    </row>
    <row r="4363" spans="1:2">
      <c r="A4363" s="1" t="s">
        <v>4679</v>
      </c>
      <c r="B4363">
        <v>43825</v>
      </c>
    </row>
    <row r="4364" spans="1:2">
      <c r="A4364" s="1" t="s">
        <v>461</v>
      </c>
      <c r="B4364">
        <v>43815</v>
      </c>
    </row>
    <row r="4365" spans="1:2">
      <c r="A4365" s="1" t="s">
        <v>4680</v>
      </c>
      <c r="B4365">
        <v>43738</v>
      </c>
    </row>
    <row r="4366" spans="1:2">
      <c r="A4366" s="1" t="s">
        <v>4681</v>
      </c>
      <c r="B4366">
        <v>43809</v>
      </c>
    </row>
    <row r="4367" spans="1:2">
      <c r="A4367" s="1" t="s">
        <v>4682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284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185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775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775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775</v>
      </c>
    </row>
    <row r="4398" spans="1:2">
      <c r="A4398" s="1" t="s">
        <v>4710</v>
      </c>
      <c r="B4398" t="s">
        <v>775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4713</v>
      </c>
      <c r="B4402" t="s">
        <v>775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118</v>
      </c>
      <c r="B4409">
        <v>43840</v>
      </c>
    </row>
    <row r="4410" spans="1:2">
      <c r="A4410" s="1" t="s">
        <v>363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775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775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775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131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81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115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775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775</v>
      </c>
    </row>
    <row r="4453" spans="1:2">
      <c r="A4453" s="1" t="s">
        <v>62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775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775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114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495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433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79</v>
      </c>
      <c r="B4533">
        <v>43903</v>
      </c>
    </row>
    <row r="4534" spans="1:2">
      <c r="A4534" s="1" t="s">
        <v>4834</v>
      </c>
      <c r="B4534" t="s">
        <v>775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775</v>
      </c>
    </row>
    <row r="4537" spans="1:2">
      <c r="A4537" s="1" t="s">
        <v>286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239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54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775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775</v>
      </c>
    </row>
    <row r="4560" spans="1:2">
      <c r="A4560" s="1" t="s">
        <v>55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333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775</v>
      </c>
    </row>
    <row r="4591" spans="1:2">
      <c r="A4591" s="1" t="s">
        <v>300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775</v>
      </c>
    </row>
    <row r="4599" spans="1:2">
      <c r="A4599" s="1" t="s">
        <v>4893</v>
      </c>
      <c r="B4599">
        <v>43805</v>
      </c>
    </row>
    <row r="4600" spans="1:2">
      <c r="A4600" s="1" t="s">
        <v>111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312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775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263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529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425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285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775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481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775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4937</v>
      </c>
      <c r="B4650">
        <v>43840</v>
      </c>
    </row>
    <row r="4651" spans="1:2">
      <c r="A4651" s="1" t="s">
        <v>4938</v>
      </c>
      <c r="B4651">
        <v>43804</v>
      </c>
    </row>
    <row r="4652" spans="1:2">
      <c r="A4652" s="1" t="s">
        <v>151</v>
      </c>
      <c r="B4652">
        <v>43814</v>
      </c>
    </row>
    <row r="4653" spans="1:2">
      <c r="A4653" s="1" t="s">
        <v>98</v>
      </c>
      <c r="B4653">
        <v>43830</v>
      </c>
    </row>
    <row r="4654" spans="1:2">
      <c r="A4654" s="1" t="s">
        <v>4939</v>
      </c>
      <c r="B4654">
        <v>43835</v>
      </c>
    </row>
    <row r="4655" spans="1:2">
      <c r="A4655" s="1" t="s">
        <v>4940</v>
      </c>
      <c r="B4655">
        <v>43818</v>
      </c>
    </row>
    <row r="4656" spans="1:2">
      <c r="A4656" s="1" t="s">
        <v>303</v>
      </c>
      <c r="B4656">
        <v>43829</v>
      </c>
    </row>
    <row r="4657" spans="1:2">
      <c r="A4657" s="1" t="s">
        <v>4941</v>
      </c>
      <c r="B4657">
        <v>43739</v>
      </c>
    </row>
    <row r="4658" spans="1:2">
      <c r="A4658" s="1" t="s">
        <v>4942</v>
      </c>
      <c r="B4658">
        <v>43745</v>
      </c>
    </row>
    <row r="4659" spans="1:2">
      <c r="A4659" s="1" t="s">
        <v>4943</v>
      </c>
      <c r="B4659">
        <v>43831</v>
      </c>
    </row>
    <row r="4660" spans="1:2">
      <c r="A4660" s="1" t="s">
        <v>4944</v>
      </c>
      <c r="B4660">
        <v>43794</v>
      </c>
    </row>
    <row r="4661" spans="1:2">
      <c r="A4661" s="1" t="s">
        <v>4945</v>
      </c>
      <c r="B4661">
        <v>43830</v>
      </c>
    </row>
    <row r="4662" spans="1:2">
      <c r="A4662" s="1" t="s">
        <v>4946</v>
      </c>
      <c r="B4662">
        <v>43733</v>
      </c>
    </row>
    <row r="4663" spans="1:2">
      <c r="A4663" s="1" t="s">
        <v>311</v>
      </c>
      <c r="B4663">
        <v>43832</v>
      </c>
    </row>
    <row r="4664" spans="1:2">
      <c r="A4664" s="1" t="s">
        <v>4947</v>
      </c>
      <c r="B4664">
        <v>43734</v>
      </c>
    </row>
    <row r="4665" spans="1:2">
      <c r="A4665" s="1" t="s">
        <v>4948</v>
      </c>
      <c r="B4665">
        <v>43826</v>
      </c>
    </row>
    <row r="4666" spans="1:2">
      <c r="A4666" s="1" t="s">
        <v>4949</v>
      </c>
      <c r="B4666">
        <v>43739</v>
      </c>
    </row>
    <row r="4667" spans="1:2">
      <c r="A4667" s="1" t="s">
        <v>4950</v>
      </c>
      <c r="B4667">
        <v>43739</v>
      </c>
    </row>
    <row r="4668" spans="1:2">
      <c r="A4668" s="1" t="s">
        <v>4951</v>
      </c>
      <c r="B4668">
        <v>43734</v>
      </c>
    </row>
    <row r="4669" spans="1:2">
      <c r="A4669" s="1" t="s">
        <v>4952</v>
      </c>
      <c r="B4669" t="s">
        <v>775</v>
      </c>
    </row>
    <row r="4670" spans="1:2">
      <c r="A4670" s="1" t="s">
        <v>4953</v>
      </c>
      <c r="B4670">
        <v>43735</v>
      </c>
    </row>
    <row r="4671" spans="1:2">
      <c r="A4671" s="1" t="s">
        <v>4954</v>
      </c>
      <c r="B4671">
        <v>43733</v>
      </c>
    </row>
    <row r="4672" spans="1:2">
      <c r="A4672" s="1" t="s">
        <v>4955</v>
      </c>
      <c r="B4672">
        <v>43809</v>
      </c>
    </row>
    <row r="4673" spans="1:2">
      <c r="A4673" s="1" t="s">
        <v>4956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4957</v>
      </c>
      <c r="B4675">
        <v>43845</v>
      </c>
    </row>
    <row r="4676" spans="1:2">
      <c r="A4676" s="1" t="s">
        <v>4958</v>
      </c>
      <c r="B4676" t="s">
        <v>775</v>
      </c>
    </row>
    <row r="4677" spans="1:2">
      <c r="A4677" s="1" t="s">
        <v>4959</v>
      </c>
      <c r="B4677">
        <v>43859</v>
      </c>
    </row>
    <row r="4678" spans="1:2">
      <c r="A4678" s="1" t="s">
        <v>4960</v>
      </c>
      <c r="B4678" t="s">
        <v>775</v>
      </c>
    </row>
    <row r="4679" spans="1:2">
      <c r="A4679" s="1" t="s">
        <v>4961</v>
      </c>
      <c r="B4679">
        <v>43755</v>
      </c>
    </row>
    <row r="4680" spans="1:2">
      <c r="A4680" s="1" t="s">
        <v>4962</v>
      </c>
      <c r="B4680">
        <v>43461</v>
      </c>
    </row>
    <row r="4681" spans="1:2">
      <c r="A4681" s="1" t="s">
        <v>4963</v>
      </c>
      <c r="B4681">
        <v>43738</v>
      </c>
    </row>
    <row r="4682" spans="1:2">
      <c r="A4682" s="1" t="s">
        <v>4964</v>
      </c>
      <c r="B4682">
        <v>43735</v>
      </c>
    </row>
    <row r="4683" spans="1:2">
      <c r="A4683" s="1" t="s">
        <v>589</v>
      </c>
      <c r="B4683">
        <v>43726</v>
      </c>
    </row>
    <row r="4684" spans="1:2">
      <c r="A4684" s="1" t="s">
        <v>4965</v>
      </c>
      <c r="B4684">
        <v>43462</v>
      </c>
    </row>
    <row r="4685" spans="1:2">
      <c r="A4685" s="1" t="s">
        <v>4966</v>
      </c>
      <c r="B4685">
        <v>43766</v>
      </c>
    </row>
    <row r="4686" spans="1:2">
      <c r="A4686" s="1" t="s">
        <v>4967</v>
      </c>
      <c r="B4686">
        <v>43805</v>
      </c>
    </row>
    <row r="4687" spans="1:2">
      <c r="A4687" s="1" t="s">
        <v>4968</v>
      </c>
      <c r="B4687">
        <v>43861</v>
      </c>
    </row>
    <row r="4688" spans="1:2">
      <c r="A4688" s="1" t="s">
        <v>4969</v>
      </c>
      <c r="B4688">
        <v>43745</v>
      </c>
    </row>
    <row r="4689" spans="1:2">
      <c r="A4689" s="1" t="s">
        <v>4970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4971</v>
      </c>
      <c r="B4691" t="s">
        <v>775</v>
      </c>
    </row>
    <row r="4692" spans="1:2">
      <c r="A4692" s="1" t="s">
        <v>4972</v>
      </c>
      <c r="B4692">
        <v>43784</v>
      </c>
    </row>
    <row r="4693" spans="1:2">
      <c r="A4693" s="1" t="s">
        <v>4973</v>
      </c>
      <c r="B4693">
        <v>43854</v>
      </c>
    </row>
    <row r="4694" spans="1:2">
      <c r="A4694" s="1" t="s">
        <v>4974</v>
      </c>
      <c r="B4694">
        <v>43784</v>
      </c>
    </row>
    <row r="4695" spans="1:2">
      <c r="A4695" s="1" t="s">
        <v>4975</v>
      </c>
      <c r="B4695">
        <v>43815</v>
      </c>
    </row>
    <row r="4696" spans="1:2">
      <c r="A4696" s="1" t="s">
        <v>4976</v>
      </c>
      <c r="B4696">
        <v>43830</v>
      </c>
    </row>
    <row r="4697" spans="1:2">
      <c r="A4697" s="1" t="s">
        <v>4977</v>
      </c>
      <c r="B4697">
        <v>43818</v>
      </c>
    </row>
    <row r="4698" spans="1:2">
      <c r="A4698" s="1" t="s">
        <v>4978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4979</v>
      </c>
      <c r="B4700">
        <v>43801</v>
      </c>
    </row>
    <row r="4701" spans="1:2">
      <c r="A4701" s="1" t="s">
        <v>4980</v>
      </c>
      <c r="B4701">
        <v>43815</v>
      </c>
    </row>
    <row r="4702" spans="1:2">
      <c r="A4702" s="1" t="s">
        <v>4981</v>
      </c>
      <c r="B4702">
        <v>43468</v>
      </c>
    </row>
    <row r="4703" spans="1:2">
      <c r="A4703" s="1" t="s">
        <v>4982</v>
      </c>
      <c r="B4703">
        <v>43815</v>
      </c>
    </row>
    <row r="4704" spans="1:2">
      <c r="A4704" s="1" t="s">
        <v>4983</v>
      </c>
      <c r="B4704">
        <v>43773</v>
      </c>
    </row>
    <row r="4705" spans="1:2">
      <c r="A4705" s="1" t="s">
        <v>4984</v>
      </c>
      <c r="B4705" t="s">
        <v>775</v>
      </c>
    </row>
    <row r="4706" spans="1:2">
      <c r="A4706" s="1" t="s">
        <v>4985</v>
      </c>
      <c r="B4706">
        <v>43740</v>
      </c>
    </row>
    <row r="4707" spans="1:2">
      <c r="A4707" s="1" t="s">
        <v>4986</v>
      </c>
      <c r="B4707" t="s">
        <v>775</v>
      </c>
    </row>
    <row r="4708" spans="1:2">
      <c r="A4708" s="1" t="s">
        <v>4987</v>
      </c>
      <c r="B4708">
        <v>43640</v>
      </c>
    </row>
    <row r="4709" spans="1:2">
      <c r="A4709" s="1" t="s">
        <v>4988</v>
      </c>
      <c r="B4709">
        <v>43739</v>
      </c>
    </row>
    <row r="4710" spans="1:2">
      <c r="A4710" s="1" t="s">
        <v>4989</v>
      </c>
      <c r="B4710">
        <v>43739</v>
      </c>
    </row>
    <row r="4711" spans="1:2">
      <c r="A4711" s="1" t="s">
        <v>4990</v>
      </c>
      <c r="B4711">
        <v>43738</v>
      </c>
    </row>
    <row r="4712" spans="1:2">
      <c r="A4712" s="1" t="s">
        <v>4991</v>
      </c>
      <c r="B4712">
        <v>43658</v>
      </c>
    </row>
    <row r="4713" spans="1:2">
      <c r="A4713" s="1" t="s">
        <v>71</v>
      </c>
      <c r="B4713">
        <v>43832</v>
      </c>
    </row>
    <row r="4714" spans="1:2">
      <c r="A4714" s="1" t="s">
        <v>4992</v>
      </c>
      <c r="B4714">
        <v>43798</v>
      </c>
    </row>
    <row r="4715" spans="1:2">
      <c r="A4715" s="1" t="s">
        <v>4993</v>
      </c>
      <c r="B4715">
        <v>43738</v>
      </c>
    </row>
    <row r="4716" spans="1:2">
      <c r="A4716" s="1" t="s">
        <v>207</v>
      </c>
      <c r="B4716">
        <v>43833</v>
      </c>
    </row>
    <row r="4717" spans="1:2">
      <c r="A4717" s="1" t="s">
        <v>4994</v>
      </c>
      <c r="B4717">
        <v>43738</v>
      </c>
    </row>
    <row r="4718" spans="1:2">
      <c r="A4718" s="1" t="s">
        <v>4995</v>
      </c>
      <c r="B4718">
        <v>43777</v>
      </c>
    </row>
    <row r="4719" spans="1:2">
      <c r="A4719" s="1" t="s">
        <v>4996</v>
      </c>
      <c r="B4719">
        <v>43605</v>
      </c>
    </row>
    <row r="4720" spans="1:2">
      <c r="A4720" s="1" t="s">
        <v>4997</v>
      </c>
      <c r="B4720">
        <v>43819</v>
      </c>
    </row>
    <row r="4721" spans="1:2">
      <c r="A4721" s="1" t="s">
        <v>4998</v>
      </c>
      <c r="B4721">
        <v>43774</v>
      </c>
    </row>
    <row r="4722" spans="1:2">
      <c r="A4722" s="1" t="s">
        <v>4999</v>
      </c>
      <c r="B4722">
        <v>43822</v>
      </c>
    </row>
    <row r="4723" spans="1:2">
      <c r="A4723" s="1" t="s">
        <v>230</v>
      </c>
      <c r="B4723">
        <v>43810</v>
      </c>
    </row>
    <row r="4724" spans="1:2">
      <c r="A4724" s="1" t="s">
        <v>5000</v>
      </c>
      <c r="B4724">
        <v>43812</v>
      </c>
    </row>
    <row r="4725" spans="1:2">
      <c r="A4725" s="1" t="s">
        <v>5001</v>
      </c>
      <c r="B4725">
        <v>43798</v>
      </c>
    </row>
    <row r="4726" spans="1:2">
      <c r="A4726" s="1" t="s">
        <v>5002</v>
      </c>
      <c r="B4726">
        <v>43801</v>
      </c>
    </row>
    <row r="4727" spans="1:2">
      <c r="A4727" s="1" t="s">
        <v>5003</v>
      </c>
      <c r="B4727">
        <v>43818</v>
      </c>
    </row>
    <row r="4728" spans="1:2">
      <c r="A4728" s="1" t="s">
        <v>5004</v>
      </c>
      <c r="B4728">
        <v>43840</v>
      </c>
    </row>
    <row r="4729" spans="1:2">
      <c r="A4729" s="1" t="s">
        <v>5005</v>
      </c>
      <c r="B4729">
        <v>43740</v>
      </c>
    </row>
    <row r="4730" spans="1:2">
      <c r="A4730" s="1" t="s">
        <v>5006</v>
      </c>
      <c r="B4730">
        <v>43819</v>
      </c>
    </row>
    <row r="4731" spans="1:2">
      <c r="A4731" s="1" t="s">
        <v>5007</v>
      </c>
      <c r="B4731">
        <v>43825</v>
      </c>
    </row>
    <row r="4732" spans="1:2">
      <c r="A4732" s="1" t="s">
        <v>5008</v>
      </c>
      <c r="B4732">
        <v>43804</v>
      </c>
    </row>
    <row r="4733" spans="1:2">
      <c r="A4733" s="1" t="s">
        <v>125</v>
      </c>
      <c r="B4733">
        <v>43800</v>
      </c>
    </row>
    <row r="4734" spans="1:2">
      <c r="A4734" s="1" t="s">
        <v>5009</v>
      </c>
      <c r="B4734">
        <v>43769</v>
      </c>
    </row>
    <row r="4735" spans="1:2">
      <c r="A4735" s="1" t="s">
        <v>5010</v>
      </c>
      <c r="B4735">
        <v>43860</v>
      </c>
    </row>
    <row r="4736" spans="1:2">
      <c r="A4736" s="1" t="s">
        <v>5011</v>
      </c>
      <c r="B4736">
        <v>43791</v>
      </c>
    </row>
    <row r="4737" spans="1:2">
      <c r="A4737" s="1" t="s">
        <v>5012</v>
      </c>
      <c r="B4737">
        <v>43790</v>
      </c>
    </row>
    <row r="4738" spans="1:2">
      <c r="A4738" s="1" t="s">
        <v>5013</v>
      </c>
      <c r="B4738">
        <v>43740</v>
      </c>
    </row>
    <row r="4739" spans="1:2">
      <c r="A4739" s="1" t="s">
        <v>30</v>
      </c>
      <c r="B4739">
        <v>43805</v>
      </c>
    </row>
    <row r="4740" spans="1:2">
      <c r="A4740" s="1" t="s">
        <v>5014</v>
      </c>
      <c r="B4740">
        <v>43845</v>
      </c>
    </row>
    <row r="4741" spans="1:2">
      <c r="A4741" s="1" t="s">
        <v>5015</v>
      </c>
      <c r="B4741">
        <v>43805</v>
      </c>
    </row>
    <row r="4742" spans="1:2">
      <c r="A4742" s="1" t="s">
        <v>5016</v>
      </c>
      <c r="B4742">
        <v>43819</v>
      </c>
    </row>
    <row r="4743" spans="1:2">
      <c r="A4743" s="1" t="s">
        <v>5017</v>
      </c>
      <c r="B4743">
        <v>43567</v>
      </c>
    </row>
    <row r="4744" spans="1:2">
      <c r="A4744" s="1" t="s">
        <v>120</v>
      </c>
      <c r="B4744">
        <v>43815</v>
      </c>
    </row>
    <row r="4745" spans="1:2">
      <c r="A4745" s="1" t="s">
        <v>5018</v>
      </c>
      <c r="B4745">
        <v>43798</v>
      </c>
    </row>
    <row r="4746" spans="1:2">
      <c r="A4746" s="1" t="s">
        <v>5019</v>
      </c>
      <c r="B4746">
        <v>43727</v>
      </c>
    </row>
    <row r="4747" spans="1:2">
      <c r="A4747" s="1" t="s">
        <v>5020</v>
      </c>
      <c r="B4747">
        <v>43740</v>
      </c>
    </row>
    <row r="4748" spans="1:2">
      <c r="A4748" s="1" t="s">
        <v>5021</v>
      </c>
      <c r="B4748">
        <v>43843</v>
      </c>
    </row>
    <row r="4749" spans="1:2">
      <c r="A4749" s="1" t="s">
        <v>146</v>
      </c>
      <c r="B4749">
        <v>43801</v>
      </c>
    </row>
    <row r="4750" spans="1:2">
      <c r="A4750" s="1" t="s">
        <v>5022</v>
      </c>
      <c r="B4750">
        <v>43626</v>
      </c>
    </row>
    <row r="4751" spans="1:2">
      <c r="A4751" s="1" t="s">
        <v>5023</v>
      </c>
      <c r="B4751" t="s">
        <v>775</v>
      </c>
    </row>
    <row r="4752" spans="1:2">
      <c r="A4752" s="1" t="s">
        <v>5024</v>
      </c>
      <c r="B4752" t="s">
        <v>775</v>
      </c>
    </row>
    <row r="4753" spans="1:2">
      <c r="A4753" s="1" t="s">
        <v>5025</v>
      </c>
      <c r="B4753">
        <v>43656</v>
      </c>
    </row>
    <row r="4754" spans="1:2">
      <c r="A4754" s="1" t="s">
        <v>5026</v>
      </c>
      <c r="B4754">
        <v>43735</v>
      </c>
    </row>
    <row r="4755" spans="1:2">
      <c r="A4755" s="1" t="s">
        <v>5027</v>
      </c>
      <c r="B4755">
        <v>43825</v>
      </c>
    </row>
    <row r="4756" spans="1:2">
      <c r="A4756" s="1" t="s">
        <v>5028</v>
      </c>
      <c r="B4756">
        <v>43818</v>
      </c>
    </row>
    <row r="4757" spans="1:2">
      <c r="A4757" s="1" t="s">
        <v>5029</v>
      </c>
      <c r="B4757">
        <v>43783</v>
      </c>
    </row>
    <row r="4758" spans="1:2">
      <c r="A4758" s="1" t="s">
        <v>5030</v>
      </c>
      <c r="B4758">
        <v>43830</v>
      </c>
    </row>
    <row r="4759" spans="1:2">
      <c r="A4759" s="1" t="s">
        <v>5031</v>
      </c>
      <c r="B4759" t="s">
        <v>775</v>
      </c>
    </row>
    <row r="4760" spans="1:2">
      <c r="A4760" s="1" t="s">
        <v>5032</v>
      </c>
      <c r="B4760">
        <v>43654</v>
      </c>
    </row>
    <row r="4761" spans="1:2">
      <c r="A4761" s="1" t="s">
        <v>5033</v>
      </c>
      <c r="B4761">
        <v>43822</v>
      </c>
    </row>
    <row r="4762" spans="1:2">
      <c r="A4762" s="1" t="s">
        <v>5034</v>
      </c>
      <c r="B4762">
        <v>43815</v>
      </c>
    </row>
    <row r="4763" spans="1:2">
      <c r="A4763" s="1" t="s">
        <v>5035</v>
      </c>
      <c r="B4763">
        <v>43738</v>
      </c>
    </row>
    <row r="4764" spans="1:2">
      <c r="A4764" s="1" t="s">
        <v>5036</v>
      </c>
      <c r="B4764">
        <v>43805</v>
      </c>
    </row>
    <row r="4765" spans="1:2">
      <c r="A4765" s="1" t="s">
        <v>5037</v>
      </c>
      <c r="B4765">
        <v>43832</v>
      </c>
    </row>
    <row r="4766" spans="1:2">
      <c r="A4766" s="1" t="s">
        <v>5038</v>
      </c>
      <c r="B4766">
        <v>43822</v>
      </c>
    </row>
    <row r="4767" spans="1:2">
      <c r="A4767" s="1" t="s">
        <v>5039</v>
      </c>
      <c r="B4767">
        <v>43735</v>
      </c>
    </row>
    <row r="4768" spans="1:2">
      <c r="A4768" s="1" t="s">
        <v>5040</v>
      </c>
      <c r="B4768">
        <v>43812</v>
      </c>
    </row>
    <row r="4769" spans="1:2">
      <c r="A4769" s="1" t="s">
        <v>5041</v>
      </c>
      <c r="B4769">
        <v>43753</v>
      </c>
    </row>
    <row r="4770" spans="1:2">
      <c r="A4770" s="1" t="s">
        <v>5042</v>
      </c>
      <c r="B4770">
        <v>43735</v>
      </c>
    </row>
    <row r="4771" spans="1:2">
      <c r="A4771" s="1" t="s">
        <v>5043</v>
      </c>
      <c r="B4771" t="s">
        <v>775</v>
      </c>
    </row>
    <row r="4772" spans="1:2">
      <c r="A4772" s="1" t="s">
        <v>5044</v>
      </c>
      <c r="B4772">
        <v>43836</v>
      </c>
    </row>
    <row r="4773" spans="1:2">
      <c r="A4773" s="1" t="s">
        <v>453</v>
      </c>
      <c r="B4773">
        <v>43795</v>
      </c>
    </row>
    <row r="4774" spans="1:2">
      <c r="A4774" s="1" t="s">
        <v>5045</v>
      </c>
      <c r="B4774">
        <v>43819</v>
      </c>
    </row>
    <row r="4775" spans="1:2">
      <c r="A4775" s="1" t="s">
        <v>5046</v>
      </c>
      <c r="B4775">
        <v>43817</v>
      </c>
    </row>
    <row r="4776" spans="1:2">
      <c r="A4776" s="1" t="s">
        <v>5047</v>
      </c>
      <c r="B4776">
        <v>43739</v>
      </c>
    </row>
    <row r="4777" spans="1:2">
      <c r="A4777" s="1" t="s">
        <v>5048</v>
      </c>
      <c r="B4777">
        <v>43830</v>
      </c>
    </row>
    <row r="4778" spans="1:2">
      <c r="A4778" s="1" t="s">
        <v>5049</v>
      </c>
      <c r="B4778">
        <v>43825</v>
      </c>
    </row>
    <row r="4779" spans="1:2">
      <c r="A4779" s="1" t="s">
        <v>5050</v>
      </c>
      <c r="B4779" t="s">
        <v>775</v>
      </c>
    </row>
    <row r="4780" spans="1:2">
      <c r="A4780" s="1" t="s">
        <v>5051</v>
      </c>
      <c r="B4780">
        <v>43731</v>
      </c>
    </row>
    <row r="4781" spans="1:2">
      <c r="A4781" s="1" t="s">
        <v>5052</v>
      </c>
      <c r="B4781">
        <v>43626</v>
      </c>
    </row>
    <row r="4782" spans="1:2">
      <c r="A4782" s="1" t="s">
        <v>5053</v>
      </c>
      <c r="B4782">
        <v>43833</v>
      </c>
    </row>
    <row r="4783" spans="1:2">
      <c r="A4783" s="1" t="s">
        <v>5054</v>
      </c>
      <c r="B4783">
        <v>43647</v>
      </c>
    </row>
    <row r="4784" spans="1:2">
      <c r="A4784" s="1" t="s">
        <v>5055</v>
      </c>
      <c r="B4784">
        <v>43830</v>
      </c>
    </row>
    <row r="4785" spans="1:2">
      <c r="A4785" s="1" t="s">
        <v>5056</v>
      </c>
      <c r="B4785">
        <v>43889</v>
      </c>
    </row>
    <row r="4786" spans="1:2">
      <c r="A4786" s="1" t="s">
        <v>5057</v>
      </c>
      <c r="B4786" t="s">
        <v>775</v>
      </c>
    </row>
    <row r="4787" spans="1:2">
      <c r="A4787" s="1" t="s">
        <v>5058</v>
      </c>
      <c r="B4787">
        <v>43738</v>
      </c>
    </row>
    <row r="4788" spans="1:2">
      <c r="A4788" s="1" t="s">
        <v>5059</v>
      </c>
      <c r="B4788">
        <v>43693</v>
      </c>
    </row>
    <row r="4789" spans="1:2">
      <c r="A4789" s="1" t="s">
        <v>493</v>
      </c>
      <c r="B4789">
        <v>43629</v>
      </c>
    </row>
    <row r="4790" spans="1:2">
      <c r="A4790" s="1" t="s">
        <v>5060</v>
      </c>
      <c r="B4790" t="s">
        <v>775</v>
      </c>
    </row>
    <row r="4791" spans="1:2">
      <c r="A4791" s="1" t="s">
        <v>5061</v>
      </c>
      <c r="B4791">
        <v>43825</v>
      </c>
    </row>
    <row r="4792" spans="1:2">
      <c r="A4792" s="1" t="s">
        <v>5062</v>
      </c>
      <c r="B4792">
        <v>43829</v>
      </c>
    </row>
    <row r="4793" spans="1:2">
      <c r="A4793" s="1" t="s">
        <v>5063</v>
      </c>
      <c r="B4793">
        <v>43829</v>
      </c>
    </row>
    <row r="4794" spans="1:2">
      <c r="A4794" s="1" t="s">
        <v>5064</v>
      </c>
      <c r="B4794">
        <v>43738</v>
      </c>
    </row>
    <row r="4795" spans="1:2">
      <c r="A4795" s="1" t="s">
        <v>186</v>
      </c>
      <c r="B4795">
        <v>43805</v>
      </c>
    </row>
    <row r="4796" spans="1:2">
      <c r="A4796" s="1" t="s">
        <v>5065</v>
      </c>
      <c r="B4796">
        <v>43644</v>
      </c>
    </row>
    <row r="4797" spans="1:2">
      <c r="A4797" s="1" t="s">
        <v>5066</v>
      </c>
      <c r="B4797">
        <v>43781</v>
      </c>
    </row>
    <row r="4798" spans="1:2">
      <c r="A4798" s="1" t="s">
        <v>5067</v>
      </c>
      <c r="B4798">
        <v>43665</v>
      </c>
    </row>
    <row r="4799" spans="1:2">
      <c r="A4799" s="1" t="s">
        <v>5068</v>
      </c>
      <c r="B4799" t="s">
        <v>775</v>
      </c>
    </row>
    <row r="4800" spans="1:2">
      <c r="A4800" s="1" t="s">
        <v>5069</v>
      </c>
      <c r="B4800">
        <v>43840</v>
      </c>
    </row>
    <row r="4801" spans="1:2">
      <c r="A4801" s="1" t="s">
        <v>5070</v>
      </c>
      <c r="B4801">
        <v>43830</v>
      </c>
    </row>
    <row r="4802" spans="1:2">
      <c r="A4802" s="1" t="s">
        <v>147</v>
      </c>
      <c r="B4802">
        <v>43816</v>
      </c>
    </row>
    <row r="4803" spans="1:2">
      <c r="A4803" s="1" t="s">
        <v>5071</v>
      </c>
      <c r="B4803">
        <v>43727</v>
      </c>
    </row>
    <row r="4804" spans="1:2">
      <c r="A4804" s="1" t="s">
        <v>5072</v>
      </c>
      <c r="B4804">
        <v>43734</v>
      </c>
    </row>
    <row r="4805" spans="1:2">
      <c r="A4805" s="1" t="s">
        <v>5073</v>
      </c>
      <c r="B4805">
        <v>43739</v>
      </c>
    </row>
    <row r="4806" spans="1:2">
      <c r="A4806" s="1" t="s">
        <v>5074</v>
      </c>
      <c r="B4806">
        <v>43826</v>
      </c>
    </row>
    <row r="4807" spans="1:2">
      <c r="A4807" s="1" t="s">
        <v>101</v>
      </c>
      <c r="B4807">
        <v>43868</v>
      </c>
    </row>
    <row r="4808" spans="1:2">
      <c r="A4808" s="1" t="s">
        <v>5075</v>
      </c>
      <c r="B4808">
        <v>43845</v>
      </c>
    </row>
    <row r="4809" spans="1:2">
      <c r="A4809" s="1" t="s">
        <v>36</v>
      </c>
      <c r="B4809">
        <v>43816</v>
      </c>
    </row>
    <row r="4810" spans="1:2">
      <c r="A4810" s="1" t="s">
        <v>393</v>
      </c>
      <c r="B4810">
        <v>43802</v>
      </c>
    </row>
    <row r="4811" spans="1:2">
      <c r="A4811" s="1" t="s">
        <v>5076</v>
      </c>
      <c r="B4811">
        <v>43532</v>
      </c>
    </row>
    <row r="4812" spans="1:2">
      <c r="A4812" s="1" t="s">
        <v>5077</v>
      </c>
      <c r="B4812">
        <v>43754</v>
      </c>
    </row>
    <row r="4813" spans="1:2">
      <c r="A4813" s="1" t="s">
        <v>5078</v>
      </c>
      <c r="B4813">
        <v>43819</v>
      </c>
    </row>
    <row r="4814" spans="1:2">
      <c r="A4814" s="1" t="s">
        <v>5079</v>
      </c>
      <c r="B4814" t="s">
        <v>775</v>
      </c>
    </row>
    <row r="4815" spans="1:2">
      <c r="A4815" s="1" t="s">
        <v>5080</v>
      </c>
      <c r="B4815">
        <v>43840</v>
      </c>
    </row>
    <row r="4816" spans="1:2">
      <c r="A4816" s="1" t="s">
        <v>5081</v>
      </c>
      <c r="B4816">
        <v>43830</v>
      </c>
    </row>
    <row r="4817" spans="1:2">
      <c r="A4817" s="1" t="s">
        <v>5082</v>
      </c>
      <c r="B4817">
        <v>43808</v>
      </c>
    </row>
    <row r="4818" spans="1:2">
      <c r="A4818" s="1" t="s">
        <v>5083</v>
      </c>
      <c r="B4818">
        <v>43836</v>
      </c>
    </row>
    <row r="4819" spans="1:2">
      <c r="A4819" s="1" t="s">
        <v>5084</v>
      </c>
      <c r="B4819">
        <v>43781</v>
      </c>
    </row>
    <row r="4820" spans="1:2">
      <c r="A4820" s="1" t="s">
        <v>5085</v>
      </c>
      <c r="B4820">
        <v>43812</v>
      </c>
    </row>
    <row r="4821" spans="1:2">
      <c r="A4821" s="1" t="s">
        <v>5086</v>
      </c>
      <c r="B4821" t="s">
        <v>775</v>
      </c>
    </row>
    <row r="4822" spans="1:2">
      <c r="A4822" s="1" t="s">
        <v>5087</v>
      </c>
      <c r="B4822">
        <v>43790</v>
      </c>
    </row>
    <row r="4823" spans="1:2">
      <c r="A4823" s="1" t="s">
        <v>5088</v>
      </c>
      <c r="B4823">
        <v>43826</v>
      </c>
    </row>
    <row r="4824" spans="1:2">
      <c r="A4824" s="1" t="s">
        <v>5089</v>
      </c>
      <c r="B4824" t="s">
        <v>775</v>
      </c>
    </row>
    <row r="4825" spans="1:2">
      <c r="A4825" s="1" t="s">
        <v>5090</v>
      </c>
      <c r="B4825">
        <v>43741</v>
      </c>
    </row>
    <row r="4826" spans="1:2">
      <c r="A4826" s="1" t="s">
        <v>5091</v>
      </c>
      <c r="B4826">
        <v>43805</v>
      </c>
    </row>
    <row r="4827" spans="1:2">
      <c r="A4827" s="1" t="s">
        <v>5092</v>
      </c>
      <c r="B4827">
        <v>43794</v>
      </c>
    </row>
    <row r="4828" spans="1:2">
      <c r="A4828" s="1" t="s">
        <v>5093</v>
      </c>
      <c r="B4828">
        <v>43819</v>
      </c>
    </row>
    <row r="4829" spans="1:2">
      <c r="A4829" s="1" t="s">
        <v>5094</v>
      </c>
      <c r="B4829">
        <v>43746</v>
      </c>
    </row>
    <row r="4830" spans="1:2">
      <c r="A4830" s="1" t="s">
        <v>133</v>
      </c>
      <c r="B4830">
        <v>43875</v>
      </c>
    </row>
    <row r="4831" spans="1:2">
      <c r="A4831" s="1" t="s">
        <v>5095</v>
      </c>
      <c r="B4831">
        <v>43804</v>
      </c>
    </row>
    <row r="4832" spans="1:2">
      <c r="A4832" s="1" t="s">
        <v>5096</v>
      </c>
      <c r="B4832">
        <v>43892</v>
      </c>
    </row>
    <row r="4833" spans="1:2">
      <c r="A4833" s="1" t="s">
        <v>5097</v>
      </c>
      <c r="B4833">
        <v>43843</v>
      </c>
    </row>
    <row r="4834" spans="1:2">
      <c r="A4834" s="1" t="s">
        <v>266</v>
      </c>
      <c r="B4834">
        <v>43894</v>
      </c>
    </row>
    <row r="4835" spans="1:2">
      <c r="A4835" s="1" t="s">
        <v>5098</v>
      </c>
      <c r="B4835">
        <v>43845</v>
      </c>
    </row>
    <row r="4836" spans="1:2">
      <c r="A4836" s="1" t="s">
        <v>5099</v>
      </c>
      <c r="B4836">
        <v>43830</v>
      </c>
    </row>
    <row r="4837" spans="1:2">
      <c r="A4837" s="1" t="s">
        <v>5100</v>
      </c>
      <c r="B4837">
        <v>43738</v>
      </c>
    </row>
    <row r="4838" spans="1:2">
      <c r="A4838" s="1" t="s">
        <v>5101</v>
      </c>
      <c r="B4838">
        <v>43739</v>
      </c>
    </row>
    <row r="4839" spans="1:2">
      <c r="A4839" s="1" t="s">
        <v>5102</v>
      </c>
      <c r="B4839">
        <v>43734</v>
      </c>
    </row>
    <row r="4840" spans="1:2">
      <c r="A4840" s="1" t="s">
        <v>5103</v>
      </c>
      <c r="B4840">
        <v>43693</v>
      </c>
    </row>
    <row r="4841" spans="1:2">
      <c r="A4841" s="1" t="s">
        <v>5104</v>
      </c>
      <c r="B4841">
        <v>43654</v>
      </c>
    </row>
    <row r="4842" spans="1:2">
      <c r="A4842" s="1" t="s">
        <v>5105</v>
      </c>
      <c r="B4842">
        <v>43819</v>
      </c>
    </row>
    <row r="4843" spans="1:2">
      <c r="A4843" s="1" t="s">
        <v>5106</v>
      </c>
      <c r="B4843">
        <v>43780</v>
      </c>
    </row>
    <row r="4844" spans="1:2">
      <c r="A4844" s="1" t="s">
        <v>5107</v>
      </c>
      <c r="B4844">
        <v>43738</v>
      </c>
    </row>
    <row r="4845" spans="1:2">
      <c r="A4845" s="1" t="s">
        <v>5108</v>
      </c>
      <c r="B4845">
        <v>43791</v>
      </c>
    </row>
    <row r="4846" spans="1:2">
      <c r="A4846" s="1" t="s">
        <v>5109</v>
      </c>
      <c r="B4846">
        <v>43819</v>
      </c>
    </row>
    <row r="4847" spans="1:2">
      <c r="A4847" s="1" t="s">
        <v>424</v>
      </c>
      <c r="B4847">
        <v>43791</v>
      </c>
    </row>
    <row r="4848" spans="1:2">
      <c r="A4848" s="1" t="s">
        <v>5110</v>
      </c>
      <c r="B4848" t="s">
        <v>775</v>
      </c>
    </row>
    <row r="4849" spans="1:2">
      <c r="A4849" s="1" t="s">
        <v>234</v>
      </c>
      <c r="B4849">
        <v>43812</v>
      </c>
    </row>
    <row r="4850" spans="1:2">
      <c r="A4850" s="1" t="s">
        <v>5111</v>
      </c>
      <c r="B4850">
        <v>43830</v>
      </c>
    </row>
    <row r="4851" spans="1:2">
      <c r="A4851" s="1" t="s">
        <v>5112</v>
      </c>
      <c r="B4851">
        <v>43805</v>
      </c>
    </row>
    <row r="4852" spans="1:2">
      <c r="A4852" s="1" t="s">
        <v>5113</v>
      </c>
      <c r="B4852">
        <v>43756</v>
      </c>
    </row>
    <row r="4853" spans="1:2">
      <c r="A4853" s="1" t="s">
        <v>5114</v>
      </c>
      <c r="B4853">
        <v>43783</v>
      </c>
    </row>
    <row r="4854" spans="1:2">
      <c r="A4854" s="1" t="s">
        <v>5115</v>
      </c>
      <c r="B4854">
        <v>43845</v>
      </c>
    </row>
    <row r="4855" spans="1:2">
      <c r="A4855" s="1" t="s">
        <v>5116</v>
      </c>
      <c r="B4855">
        <v>43784</v>
      </c>
    </row>
    <row r="4856" spans="1:2">
      <c r="A4856" s="1" t="s">
        <v>5117</v>
      </c>
      <c r="B4856">
        <v>43825</v>
      </c>
    </row>
    <row r="4857" spans="1:2">
      <c r="A4857" s="1" t="s">
        <v>5118</v>
      </c>
      <c r="B4857">
        <v>43739</v>
      </c>
    </row>
    <row r="4858" spans="1:2">
      <c r="A4858" s="1" t="s">
        <v>5119</v>
      </c>
      <c r="B4858">
        <v>43462</v>
      </c>
    </row>
    <row r="4859" spans="1:2">
      <c r="A4859" s="1" t="s">
        <v>5120</v>
      </c>
      <c r="B4859">
        <v>43629</v>
      </c>
    </row>
    <row r="4860" spans="1:2">
      <c r="A4860" s="1" t="s">
        <v>5121</v>
      </c>
      <c r="B4860">
        <v>43644</v>
      </c>
    </row>
    <row r="4861" spans="1:2">
      <c r="A4861" s="1" t="s">
        <v>5122</v>
      </c>
      <c r="B4861" t="s">
        <v>775</v>
      </c>
    </row>
    <row r="4862" spans="1:2">
      <c r="A4862" s="1" t="s">
        <v>5123</v>
      </c>
      <c r="B4862">
        <v>43763</v>
      </c>
    </row>
    <row r="4863" spans="1:2">
      <c r="A4863" s="1" t="s">
        <v>427</v>
      </c>
      <c r="B4863">
        <v>43784</v>
      </c>
    </row>
    <row r="4864" spans="1:2">
      <c r="A4864" s="1" t="s">
        <v>5124</v>
      </c>
      <c r="B4864">
        <v>43721</v>
      </c>
    </row>
    <row r="4865" spans="1:2">
      <c r="A4865" s="1" t="s">
        <v>5125</v>
      </c>
      <c r="B4865">
        <v>43461</v>
      </c>
    </row>
    <row r="4866" spans="1:2">
      <c r="A4866" s="1" t="s">
        <v>5126</v>
      </c>
      <c r="B4866">
        <v>43819</v>
      </c>
    </row>
    <row r="4867" spans="1:2">
      <c r="A4867" s="1" t="s">
        <v>5127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5128</v>
      </c>
      <c r="B4869">
        <v>43846</v>
      </c>
    </row>
    <row r="4870" spans="1:2">
      <c r="A4870" s="1" t="s">
        <v>499</v>
      </c>
      <c r="B4870">
        <v>43753</v>
      </c>
    </row>
    <row r="4871" spans="1:2">
      <c r="A4871" s="1" t="s">
        <v>5129</v>
      </c>
      <c r="B4871">
        <v>43819</v>
      </c>
    </row>
    <row r="4872" spans="1:2">
      <c r="A4872" s="1" t="s">
        <v>5130</v>
      </c>
      <c r="B4872" t="s">
        <v>775</v>
      </c>
    </row>
    <row r="4873" spans="1:2">
      <c r="A4873" s="1" t="s">
        <v>5131</v>
      </c>
      <c r="B4873">
        <v>43465</v>
      </c>
    </row>
    <row r="4874" spans="1:2">
      <c r="A4874" s="1" t="s">
        <v>5132</v>
      </c>
      <c r="B4874">
        <v>43733</v>
      </c>
    </row>
    <row r="4875" spans="1:2">
      <c r="A4875" s="1" t="s">
        <v>5133</v>
      </c>
      <c r="B4875">
        <v>43724</v>
      </c>
    </row>
    <row r="4876" spans="1:2">
      <c r="A4876" s="1" t="s">
        <v>5134</v>
      </c>
      <c r="B4876">
        <v>43532</v>
      </c>
    </row>
    <row r="4877" spans="1:2">
      <c r="A4877" s="1" t="s">
        <v>5135</v>
      </c>
      <c r="B4877">
        <v>43763</v>
      </c>
    </row>
    <row r="4878" spans="1:2">
      <c r="A4878" s="1" t="s">
        <v>5136</v>
      </c>
      <c r="B4878">
        <v>43812</v>
      </c>
    </row>
    <row r="4879" spans="1:2">
      <c r="A4879" s="1" t="s">
        <v>5137</v>
      </c>
      <c r="B4879">
        <v>43668</v>
      </c>
    </row>
    <row r="4880" spans="1:2">
      <c r="A4880" s="1" t="s">
        <v>5138</v>
      </c>
      <c r="B4880">
        <v>43649</v>
      </c>
    </row>
    <row r="4881" spans="1:2">
      <c r="A4881" s="1" t="s">
        <v>5139</v>
      </c>
      <c r="B4881">
        <v>43804</v>
      </c>
    </row>
    <row r="4882" spans="1:2">
      <c r="A4882" s="1" t="s">
        <v>5140</v>
      </c>
      <c r="B4882">
        <v>43799</v>
      </c>
    </row>
    <row r="4883" spans="1:2">
      <c r="A4883" s="1" t="s">
        <v>5141</v>
      </c>
      <c r="B4883">
        <v>43738</v>
      </c>
    </row>
    <row r="4884" spans="1:2">
      <c r="A4884" s="1" t="s">
        <v>5142</v>
      </c>
      <c r="B4884">
        <v>43825</v>
      </c>
    </row>
    <row r="4885" spans="1:2">
      <c r="A4885" s="1" t="s">
        <v>5143</v>
      </c>
      <c r="B4885">
        <v>43733</v>
      </c>
    </row>
    <row r="4886" spans="1:2">
      <c r="A4886" s="1" t="s">
        <v>5144</v>
      </c>
      <c r="B4886">
        <v>43798</v>
      </c>
    </row>
    <row r="4887" spans="1:2">
      <c r="A4887" s="1" t="s">
        <v>5145</v>
      </c>
      <c r="B4887">
        <v>43465</v>
      </c>
    </row>
    <row r="4888" spans="1:2">
      <c r="A4888" s="1" t="s">
        <v>5146</v>
      </c>
      <c r="B4888">
        <v>43819</v>
      </c>
    </row>
    <row r="4889" spans="1:2">
      <c r="A4889" s="1" t="s">
        <v>5147</v>
      </c>
      <c r="B4889">
        <v>43804</v>
      </c>
    </row>
    <row r="4890" spans="1:2">
      <c r="A4890" s="1" t="s">
        <v>5148</v>
      </c>
      <c r="B4890">
        <v>43740</v>
      </c>
    </row>
    <row r="4891" spans="1:2">
      <c r="A4891" s="1" t="s">
        <v>5149</v>
      </c>
      <c r="B4891">
        <v>43819</v>
      </c>
    </row>
    <row r="4892" spans="1:2">
      <c r="A4892" s="1" t="s">
        <v>5150</v>
      </c>
      <c r="B4892">
        <v>43738</v>
      </c>
    </row>
    <row r="4893" spans="1:2">
      <c r="A4893" s="1" t="s">
        <v>5151</v>
      </c>
      <c r="B4893">
        <v>43818</v>
      </c>
    </row>
    <row r="4894" spans="1:2">
      <c r="A4894" s="1" t="s">
        <v>5152</v>
      </c>
      <c r="B4894">
        <v>43830</v>
      </c>
    </row>
    <row r="4895" spans="1:2">
      <c r="A4895" s="1" t="s">
        <v>5153</v>
      </c>
      <c r="B4895">
        <v>43840</v>
      </c>
    </row>
    <row r="4896" spans="1:2">
      <c r="A4896" s="1" t="s">
        <v>5154</v>
      </c>
      <c r="B4896">
        <v>43812</v>
      </c>
    </row>
    <row r="4897" spans="1:2">
      <c r="A4897" s="1" t="s">
        <v>5155</v>
      </c>
      <c r="B4897">
        <v>43818</v>
      </c>
    </row>
    <row r="4898" spans="1:2">
      <c r="A4898" s="1" t="s">
        <v>5156</v>
      </c>
      <c r="B4898">
        <v>43465</v>
      </c>
    </row>
    <row r="4899" spans="1:2">
      <c r="A4899" s="1" t="s">
        <v>338</v>
      </c>
      <c r="B4899">
        <v>43838</v>
      </c>
    </row>
    <row r="4900" spans="1:2">
      <c r="A4900" s="1" t="s">
        <v>5157</v>
      </c>
      <c r="B4900">
        <v>43755</v>
      </c>
    </row>
    <row r="4901" spans="1:2">
      <c r="A4901" s="1" t="s">
        <v>5158</v>
      </c>
      <c r="B4901">
        <v>43815</v>
      </c>
    </row>
    <row r="4902" spans="1:2">
      <c r="A4902" s="1" t="s">
        <v>5159</v>
      </c>
      <c r="B4902" t="s">
        <v>775</v>
      </c>
    </row>
    <row r="4903" spans="1:2">
      <c r="A4903" s="1" t="s">
        <v>5160</v>
      </c>
      <c r="B4903">
        <v>43808</v>
      </c>
    </row>
    <row r="4904" spans="1:2">
      <c r="A4904" s="1" t="s">
        <v>5161</v>
      </c>
      <c r="B4904">
        <v>43830</v>
      </c>
    </row>
    <row r="4905" spans="1:2">
      <c r="A4905" s="1" t="s">
        <v>5162</v>
      </c>
      <c r="B4905">
        <v>43889</v>
      </c>
    </row>
    <row r="4906" spans="1:2">
      <c r="A4906" s="1" t="s">
        <v>5163</v>
      </c>
      <c r="B4906">
        <v>43740</v>
      </c>
    </row>
    <row r="4907" spans="1:2">
      <c r="A4907" s="1" t="s">
        <v>5164</v>
      </c>
      <c r="B4907">
        <v>43845</v>
      </c>
    </row>
    <row r="4908" spans="1:2">
      <c r="A4908" s="1" t="s">
        <v>5165</v>
      </c>
      <c r="B4908" t="s">
        <v>775</v>
      </c>
    </row>
    <row r="4909" spans="1:2">
      <c r="A4909" s="1" t="s">
        <v>5166</v>
      </c>
      <c r="B4909">
        <v>43811</v>
      </c>
    </row>
    <row r="4910" spans="1:2">
      <c r="A4910" s="1" t="s">
        <v>5167</v>
      </c>
      <c r="B4910">
        <v>43727</v>
      </c>
    </row>
    <row r="4911" spans="1:2">
      <c r="A4911" s="1" t="s">
        <v>5168</v>
      </c>
      <c r="B4911">
        <v>43613</v>
      </c>
    </row>
    <row r="4912" spans="1:2">
      <c r="A4912" s="1" t="s">
        <v>5169</v>
      </c>
      <c r="B4912">
        <v>43595</v>
      </c>
    </row>
    <row r="4913" spans="1:2">
      <c r="A4913" s="1" t="s">
        <v>5170</v>
      </c>
      <c r="B4913">
        <v>43734</v>
      </c>
    </row>
    <row r="4914" spans="1:2">
      <c r="A4914" s="1" t="s">
        <v>5171</v>
      </c>
      <c r="B4914">
        <v>43769</v>
      </c>
    </row>
    <row r="4915" spans="1:2">
      <c r="A4915" s="1" t="s">
        <v>5172</v>
      </c>
      <c r="B4915" t="s">
        <v>775</v>
      </c>
    </row>
    <row r="4916" spans="1:2">
      <c r="A4916" s="1" t="s">
        <v>5173</v>
      </c>
      <c r="B4916">
        <v>43798</v>
      </c>
    </row>
    <row r="4917" spans="1:2">
      <c r="A4917" s="1" t="s">
        <v>5174</v>
      </c>
      <c r="B4917">
        <v>43783</v>
      </c>
    </row>
    <row r="4918" spans="1:2">
      <c r="A4918" s="1" t="s">
        <v>5175</v>
      </c>
      <c r="B4918">
        <v>43791</v>
      </c>
    </row>
    <row r="4919" spans="1:2">
      <c r="A4919" s="1" t="s">
        <v>5176</v>
      </c>
      <c r="B4919">
        <v>43845</v>
      </c>
    </row>
    <row r="4920" spans="1:2">
      <c r="A4920" s="1" t="s">
        <v>5177</v>
      </c>
      <c r="B4920">
        <v>43461</v>
      </c>
    </row>
    <row r="4921" spans="1:2">
      <c r="A4921" s="1" t="s">
        <v>763</v>
      </c>
      <c r="B4921">
        <v>43818</v>
      </c>
    </row>
    <row r="4922" spans="1:2">
      <c r="A4922" s="1" t="s">
        <v>5178</v>
      </c>
      <c r="B4922">
        <v>43781</v>
      </c>
    </row>
    <row r="4923" spans="1:2">
      <c r="A4923" s="1" t="s">
        <v>5179</v>
      </c>
      <c r="B4923">
        <v>43814</v>
      </c>
    </row>
    <row r="4924" spans="1:2">
      <c r="A4924" s="1" t="s">
        <v>5180</v>
      </c>
      <c r="B4924">
        <v>43740</v>
      </c>
    </row>
    <row r="4925" spans="1:2">
      <c r="A4925" s="1" t="s">
        <v>5181</v>
      </c>
      <c r="B4925">
        <v>43798</v>
      </c>
    </row>
    <row r="4926" spans="1:2">
      <c r="A4926" s="1" t="s">
        <v>5182</v>
      </c>
      <c r="B4926">
        <v>43801</v>
      </c>
    </row>
    <row r="4927" spans="1:2">
      <c r="A4927" s="1" t="s">
        <v>5183</v>
      </c>
      <c r="B4927">
        <v>43854</v>
      </c>
    </row>
    <row r="4928" spans="1:2">
      <c r="A4928" s="1" t="s">
        <v>5184</v>
      </c>
      <c r="B4928">
        <v>43669</v>
      </c>
    </row>
    <row r="4929" spans="1:2">
      <c r="A4929" s="1" t="s">
        <v>5185</v>
      </c>
      <c r="B4929">
        <v>43830</v>
      </c>
    </row>
    <row r="4930" spans="1:2">
      <c r="A4930" s="1" t="s">
        <v>5186</v>
      </c>
      <c r="B4930">
        <v>43573</v>
      </c>
    </row>
    <row r="4931" spans="1:2">
      <c r="A4931" s="1" t="s">
        <v>5187</v>
      </c>
      <c r="B4931">
        <v>43647</v>
      </c>
    </row>
    <row r="4932" spans="1:2">
      <c r="A4932" s="1" t="s">
        <v>5188</v>
      </c>
      <c r="B4932" t="s">
        <v>775</v>
      </c>
    </row>
    <row r="4933" spans="1:2">
      <c r="A4933" s="1" t="s">
        <v>5189</v>
      </c>
      <c r="B4933" t="s">
        <v>775</v>
      </c>
    </row>
    <row r="4934" spans="1:2">
      <c r="A4934" s="1" t="s">
        <v>400</v>
      </c>
      <c r="B4934">
        <v>43852</v>
      </c>
    </row>
    <row r="4935" spans="1:2">
      <c r="A4935" s="1" t="s">
        <v>5190</v>
      </c>
      <c r="B4935">
        <v>43830</v>
      </c>
    </row>
    <row r="4936" spans="1:2">
      <c r="A4936" s="1" t="s">
        <v>5191</v>
      </c>
      <c r="B4936">
        <v>43644</v>
      </c>
    </row>
    <row r="4937" spans="1:2">
      <c r="A4937" s="1" t="s">
        <v>5192</v>
      </c>
      <c r="B4937">
        <v>43735</v>
      </c>
    </row>
    <row r="4938" spans="1:2">
      <c r="A4938" s="1" t="s">
        <v>764</v>
      </c>
      <c r="B4938">
        <v>43815</v>
      </c>
    </row>
    <row r="4939" spans="1:2">
      <c r="A4939" s="1" t="s">
        <v>5193</v>
      </c>
      <c r="B4939">
        <v>43830</v>
      </c>
    </row>
    <row r="4940" spans="1:2">
      <c r="A4940" s="1" t="s">
        <v>5194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5195</v>
      </c>
      <c r="B4942">
        <v>43733</v>
      </c>
    </row>
    <row r="4943" spans="1:2">
      <c r="A4943" s="1" t="s">
        <v>5196</v>
      </c>
      <c r="B4943">
        <v>43798</v>
      </c>
    </row>
    <row r="4944" spans="1:2">
      <c r="A4944" s="1" t="s">
        <v>5197</v>
      </c>
      <c r="B4944">
        <v>43654</v>
      </c>
    </row>
    <row r="4945" spans="1:2">
      <c r="A4945" s="1" t="s">
        <v>297</v>
      </c>
      <c r="B4945">
        <v>43812</v>
      </c>
    </row>
    <row r="4946" spans="1:2">
      <c r="A4946" s="1" t="s">
        <v>5198</v>
      </c>
      <c r="B4946">
        <v>43654</v>
      </c>
    </row>
    <row r="4947" spans="1:2">
      <c r="A4947" s="1" t="s">
        <v>5199</v>
      </c>
      <c r="B4947">
        <v>43738</v>
      </c>
    </row>
    <row r="4948" spans="1:2">
      <c r="A4948" s="1" t="s">
        <v>5200</v>
      </c>
      <c r="B4948">
        <v>43790</v>
      </c>
    </row>
    <row r="4949" spans="1:2">
      <c r="A4949" s="1" t="s">
        <v>5201</v>
      </c>
      <c r="B4949">
        <v>43819</v>
      </c>
    </row>
    <row r="4950" spans="1:2">
      <c r="A4950" s="1" t="s">
        <v>5202</v>
      </c>
      <c r="B4950">
        <v>43825</v>
      </c>
    </row>
    <row r="4951" spans="1:2">
      <c r="A4951" s="1" t="s">
        <v>5203</v>
      </c>
      <c r="B4951">
        <v>43734</v>
      </c>
    </row>
    <row r="4952" spans="1:2">
      <c r="A4952" s="1" t="s">
        <v>5204</v>
      </c>
      <c r="B4952">
        <v>43607</v>
      </c>
    </row>
    <row r="4953" spans="1:2">
      <c r="A4953" s="1" t="s">
        <v>5205</v>
      </c>
      <c r="B4953">
        <v>43739</v>
      </c>
    </row>
    <row r="4954" spans="1:2">
      <c r="A4954" s="1" t="s">
        <v>5206</v>
      </c>
      <c r="B4954">
        <v>43738</v>
      </c>
    </row>
    <row r="4955" spans="1:2">
      <c r="A4955" s="1" t="s">
        <v>5207</v>
      </c>
      <c r="B4955">
        <v>43823</v>
      </c>
    </row>
    <row r="4956" spans="1:2">
      <c r="A4956" s="1" t="s">
        <v>5208</v>
      </c>
      <c r="B4956">
        <v>43718</v>
      </c>
    </row>
    <row r="4957" spans="1:2">
      <c r="A4957" s="1" t="s">
        <v>5209</v>
      </c>
      <c r="B4957">
        <v>43840</v>
      </c>
    </row>
    <row r="4958" spans="1:2">
      <c r="A4958" s="1" t="s">
        <v>5210</v>
      </c>
      <c r="B4958">
        <v>43790</v>
      </c>
    </row>
    <row r="4959" spans="1:2">
      <c r="A4959" s="1" t="s">
        <v>5211</v>
      </c>
      <c r="B4959">
        <v>43804</v>
      </c>
    </row>
    <row r="4960" spans="1:2">
      <c r="A4960" s="1" t="s">
        <v>5212</v>
      </c>
      <c r="B4960">
        <v>43734</v>
      </c>
    </row>
    <row r="4961" spans="1:2">
      <c r="A4961" s="1" t="s">
        <v>5213</v>
      </c>
      <c r="B4961">
        <v>43661</v>
      </c>
    </row>
    <row r="4962" spans="1:2">
      <c r="A4962" s="1" t="s">
        <v>5214</v>
      </c>
      <c r="B4962">
        <v>43818</v>
      </c>
    </row>
    <row r="4963" spans="1:2">
      <c r="A4963" s="1" t="s">
        <v>5215</v>
      </c>
      <c r="B4963">
        <v>43814</v>
      </c>
    </row>
    <row r="4964" spans="1:2">
      <c r="A4964" s="1" t="s">
        <v>5216</v>
      </c>
      <c r="B4964">
        <v>43733</v>
      </c>
    </row>
    <row r="4965" spans="1:2">
      <c r="A4965" s="1" t="s">
        <v>5217</v>
      </c>
      <c r="B4965">
        <v>43798</v>
      </c>
    </row>
    <row r="4966" spans="1:2">
      <c r="A4966" s="1" t="s">
        <v>530</v>
      </c>
      <c r="B4966">
        <v>43893</v>
      </c>
    </row>
    <row r="4967" spans="1:2">
      <c r="A4967" s="1" t="s">
        <v>5218</v>
      </c>
      <c r="B4967">
        <v>43832</v>
      </c>
    </row>
    <row r="4968" spans="1:2">
      <c r="A4968" s="1" t="s">
        <v>5219</v>
      </c>
      <c r="B4968">
        <v>43734</v>
      </c>
    </row>
    <row r="4969" spans="1:2">
      <c r="A4969" s="1" t="s">
        <v>32</v>
      </c>
      <c r="B4969">
        <v>43823</v>
      </c>
    </row>
    <row r="4970" spans="1:2">
      <c r="A4970" s="1" t="s">
        <v>281</v>
      </c>
      <c r="B4970">
        <v>43816</v>
      </c>
    </row>
    <row r="4971" spans="1:2">
      <c r="A4971" s="1" t="s">
        <v>5220</v>
      </c>
      <c r="B4971">
        <v>43812</v>
      </c>
    </row>
    <row r="4972" spans="1:2">
      <c r="A4972" s="1" t="s">
        <v>5221</v>
      </c>
      <c r="B4972">
        <v>43798</v>
      </c>
    </row>
    <row r="4973" spans="1:2">
      <c r="A4973" s="1" t="s">
        <v>5222</v>
      </c>
      <c r="B4973">
        <v>43619</v>
      </c>
    </row>
    <row r="4974" spans="1:2">
      <c r="A4974" s="1" t="s">
        <v>526</v>
      </c>
      <c r="B4974">
        <v>43845</v>
      </c>
    </row>
    <row r="4975" spans="1:2">
      <c r="A4975" s="1" t="s">
        <v>5223</v>
      </c>
      <c r="B4975">
        <v>43740</v>
      </c>
    </row>
    <row r="4976" spans="1:2">
      <c r="A4976" s="1" t="s">
        <v>5224</v>
      </c>
      <c r="B4976">
        <v>43577</v>
      </c>
    </row>
    <row r="4977" spans="1:2">
      <c r="A4977" s="1" t="s">
        <v>5225</v>
      </c>
      <c r="B4977">
        <v>43819</v>
      </c>
    </row>
    <row r="4978" spans="1:2">
      <c r="A4978" s="1" t="s">
        <v>5226</v>
      </c>
      <c r="B4978">
        <v>43734</v>
      </c>
    </row>
    <row r="4979" spans="1:2">
      <c r="A4979" s="1" t="s">
        <v>5227</v>
      </c>
      <c r="B4979">
        <v>43815</v>
      </c>
    </row>
    <row r="4980" spans="1:2">
      <c r="A4980" s="1" t="s">
        <v>5228</v>
      </c>
      <c r="B4980">
        <v>43669</v>
      </c>
    </row>
    <row r="4981" spans="1:2">
      <c r="A4981" s="1" t="s">
        <v>212</v>
      </c>
      <c r="B4981">
        <v>43801</v>
      </c>
    </row>
    <row r="4982" spans="1:2">
      <c r="A4982" s="1" t="s">
        <v>5229</v>
      </c>
      <c r="B4982">
        <v>43826</v>
      </c>
    </row>
    <row r="4983" spans="1:2">
      <c r="A4983" s="1" t="s">
        <v>5230</v>
      </c>
      <c r="B4983">
        <v>43738</v>
      </c>
    </row>
    <row r="4984" spans="1:2">
      <c r="A4984" s="1" t="s">
        <v>247</v>
      </c>
      <c r="B4984">
        <v>43845</v>
      </c>
    </row>
    <row r="4985" spans="1:2">
      <c r="A4985" s="1" t="s">
        <v>5231</v>
      </c>
      <c r="B4985">
        <v>43802</v>
      </c>
    </row>
    <row r="4986" spans="1:2">
      <c r="A4986" s="1" t="s">
        <v>5232</v>
      </c>
      <c r="B4986">
        <v>43755</v>
      </c>
    </row>
    <row r="4987" spans="1:2">
      <c r="A4987" s="1" t="s">
        <v>5233</v>
      </c>
      <c r="B4987">
        <v>43740</v>
      </c>
    </row>
    <row r="4988" spans="1:2">
      <c r="A4988" s="1" t="s">
        <v>5234</v>
      </c>
      <c r="B4988">
        <v>43602</v>
      </c>
    </row>
    <row r="4989" spans="1:2">
      <c r="A4989" s="1" t="s">
        <v>5235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414</v>
      </c>
      <c r="B4991">
        <v>43864</v>
      </c>
    </row>
    <row r="4992" spans="1:2">
      <c r="A4992" s="1" t="s">
        <v>5236</v>
      </c>
      <c r="B4992">
        <v>43738</v>
      </c>
    </row>
    <row r="4993" spans="1:2">
      <c r="A4993" s="1" t="s">
        <v>5237</v>
      </c>
      <c r="B4993">
        <v>43832</v>
      </c>
    </row>
    <row r="4994" spans="1:2">
      <c r="A4994" s="1" t="s">
        <v>5238</v>
      </c>
      <c r="B4994">
        <v>43822</v>
      </c>
    </row>
    <row r="4995" spans="1:2">
      <c r="A4995" s="1" t="s">
        <v>5239</v>
      </c>
      <c r="B4995">
        <v>43819</v>
      </c>
    </row>
    <row r="4996" spans="1:2">
      <c r="A4996" s="1" t="s">
        <v>5240</v>
      </c>
      <c r="B4996">
        <v>43689</v>
      </c>
    </row>
    <row r="4997" spans="1:2">
      <c r="A4997" s="1" t="s">
        <v>5241</v>
      </c>
      <c r="B4997">
        <v>43826</v>
      </c>
    </row>
    <row r="4998" spans="1:2">
      <c r="A4998" s="1" t="s">
        <v>5242</v>
      </c>
      <c r="B4998">
        <v>43830</v>
      </c>
    </row>
    <row r="4999" spans="1:2">
      <c r="A4999" s="1" t="s">
        <v>5243</v>
      </c>
      <c r="B4999">
        <v>43811</v>
      </c>
    </row>
    <row r="5000" spans="1:2">
      <c r="A5000" s="1" t="s">
        <v>119</v>
      </c>
      <c r="B5000">
        <v>43817</v>
      </c>
    </row>
    <row r="5001" spans="1:2">
      <c r="A5001" s="1" t="s">
        <v>5244</v>
      </c>
      <c r="B5001">
        <v>43819</v>
      </c>
    </row>
    <row r="5002" spans="1:2">
      <c r="A5002" s="1" t="s">
        <v>5245</v>
      </c>
      <c r="B5002">
        <v>43830</v>
      </c>
    </row>
    <row r="5003" spans="1:2">
      <c r="A5003" s="1" t="s">
        <v>5246</v>
      </c>
      <c r="B5003">
        <v>43805</v>
      </c>
    </row>
    <row r="5004" spans="1:2">
      <c r="A5004" s="1" t="s">
        <v>5247</v>
      </c>
      <c r="B5004">
        <v>43819</v>
      </c>
    </row>
    <row r="5005" spans="1:2">
      <c r="A5005" s="1" t="s">
        <v>5248</v>
      </c>
      <c r="B5005" t="s">
        <v>775</v>
      </c>
    </row>
    <row r="5006" spans="1:2">
      <c r="A5006" s="1" t="s">
        <v>5249</v>
      </c>
      <c r="B5006">
        <v>43791</v>
      </c>
    </row>
    <row r="5007" spans="1:2">
      <c r="A5007" s="1" t="s">
        <v>5250</v>
      </c>
      <c r="B5007">
        <v>43760</v>
      </c>
    </row>
    <row r="5008" spans="1:2">
      <c r="A5008" s="1" t="s">
        <v>5251</v>
      </c>
      <c r="B5008">
        <v>43825</v>
      </c>
    </row>
    <row r="5009" spans="1:2">
      <c r="A5009" s="1" t="s">
        <v>5252</v>
      </c>
      <c r="B5009">
        <v>43733</v>
      </c>
    </row>
    <row r="5010" spans="1:2">
      <c r="A5010" s="1" t="s">
        <v>5253</v>
      </c>
      <c r="B5010">
        <v>43832</v>
      </c>
    </row>
    <row r="5011" spans="1:2">
      <c r="A5011" s="1" t="s">
        <v>5254</v>
      </c>
      <c r="B5011">
        <v>43791</v>
      </c>
    </row>
    <row r="5012" spans="1:2">
      <c r="A5012" s="1" t="s">
        <v>58</v>
      </c>
      <c r="B5012">
        <v>43811</v>
      </c>
    </row>
    <row r="5013" spans="1:2">
      <c r="A5013" s="1" t="s">
        <v>5255</v>
      </c>
      <c r="B5013">
        <v>43798</v>
      </c>
    </row>
    <row r="5014" spans="1:2">
      <c r="A5014" s="1" t="s">
        <v>5256</v>
      </c>
      <c r="B5014">
        <v>43734</v>
      </c>
    </row>
    <row r="5015" spans="1:2">
      <c r="A5015" s="1" t="s">
        <v>5257</v>
      </c>
      <c r="B5015" t="s">
        <v>775</v>
      </c>
    </row>
    <row r="5016" spans="1:2">
      <c r="A5016" s="1" t="s">
        <v>5258</v>
      </c>
      <c r="B5016">
        <v>43798</v>
      </c>
    </row>
    <row r="5017" spans="1:2">
      <c r="A5017" s="1" t="s">
        <v>5259</v>
      </c>
      <c r="B5017">
        <v>43787</v>
      </c>
    </row>
    <row r="5018" spans="1:2">
      <c r="A5018" s="1" t="s">
        <v>5260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5261</v>
      </c>
      <c r="B5020">
        <v>43825</v>
      </c>
    </row>
    <row r="5021" spans="1:2">
      <c r="A5021" s="1" t="s">
        <v>5262</v>
      </c>
      <c r="B5021">
        <v>43740</v>
      </c>
    </row>
    <row r="5022" spans="1:2">
      <c r="A5022" s="1" t="s">
        <v>5263</v>
      </c>
      <c r="B5022">
        <v>43787</v>
      </c>
    </row>
    <row r="5023" spans="1:2">
      <c r="A5023" s="1" t="s">
        <v>5264</v>
      </c>
      <c r="B5023">
        <v>43665</v>
      </c>
    </row>
    <row r="5024" spans="1:2">
      <c r="A5024" s="1" t="s">
        <v>5265</v>
      </c>
      <c r="B5024">
        <v>43644</v>
      </c>
    </row>
    <row r="5025" spans="1:2">
      <c r="A5025" s="1" t="s">
        <v>5266</v>
      </c>
      <c r="B5025">
        <v>43819</v>
      </c>
    </row>
    <row r="5026" spans="1:2">
      <c r="A5026" s="1" t="s">
        <v>5267</v>
      </c>
      <c r="B5026">
        <v>43556</v>
      </c>
    </row>
    <row r="5027" spans="1:2">
      <c r="A5027" s="1" t="s">
        <v>5268</v>
      </c>
      <c r="B5027">
        <v>43602</v>
      </c>
    </row>
    <row r="5028" spans="1:2">
      <c r="A5028" s="1" t="s">
        <v>612</v>
      </c>
      <c r="B5028">
        <v>43906</v>
      </c>
    </row>
    <row r="5029" spans="1:2">
      <c r="A5029" s="1" t="s">
        <v>5269</v>
      </c>
      <c r="B5029">
        <v>43752</v>
      </c>
    </row>
    <row r="5030" spans="1:2">
      <c r="A5030" s="1" t="s">
        <v>5270</v>
      </c>
      <c r="B5030">
        <v>43747</v>
      </c>
    </row>
    <row r="5031" spans="1:2">
      <c r="A5031" s="1" t="s">
        <v>5271</v>
      </c>
      <c r="B5031">
        <v>43654</v>
      </c>
    </row>
    <row r="5032" spans="1:2">
      <c r="A5032" s="1" t="s">
        <v>5272</v>
      </c>
      <c r="B5032">
        <v>43727</v>
      </c>
    </row>
    <row r="5033" spans="1:2">
      <c r="A5033" s="1" t="s">
        <v>5273</v>
      </c>
      <c r="B5033">
        <v>43654</v>
      </c>
    </row>
    <row r="5034" spans="1:2">
      <c r="A5034" s="1" t="s">
        <v>5274</v>
      </c>
      <c r="B5034">
        <v>43613</v>
      </c>
    </row>
    <row r="5035" spans="1:2">
      <c r="A5035" s="1" t="s">
        <v>84</v>
      </c>
      <c r="B5035">
        <v>43805</v>
      </c>
    </row>
    <row r="5036" spans="1:2">
      <c r="A5036" s="1" t="s">
        <v>5275</v>
      </c>
      <c r="B5036">
        <v>43626</v>
      </c>
    </row>
    <row r="5037" spans="1:2">
      <c r="A5037" s="1" t="s">
        <v>5276</v>
      </c>
      <c r="B5037">
        <v>43798</v>
      </c>
    </row>
    <row r="5038" spans="1:2">
      <c r="A5038" s="1" t="s">
        <v>553</v>
      </c>
      <c r="B5038">
        <v>43895</v>
      </c>
    </row>
    <row r="5039" spans="1:2">
      <c r="A5039" s="1" t="s">
        <v>5277</v>
      </c>
      <c r="B5039">
        <v>43727</v>
      </c>
    </row>
    <row r="5040" spans="1:2">
      <c r="A5040" s="1" t="s">
        <v>5278</v>
      </c>
      <c r="B5040">
        <v>43749</v>
      </c>
    </row>
    <row r="5041" spans="1:2">
      <c r="A5041" s="1" t="s">
        <v>5279</v>
      </c>
      <c r="B5041">
        <v>43818</v>
      </c>
    </row>
    <row r="5042" spans="1:2">
      <c r="A5042" s="1" t="s">
        <v>5280</v>
      </c>
      <c r="B5042">
        <v>43781</v>
      </c>
    </row>
    <row r="5043" spans="1:2">
      <c r="A5043" s="1" t="s">
        <v>53</v>
      </c>
      <c r="B5043">
        <v>43861</v>
      </c>
    </row>
    <row r="5044" spans="1:2">
      <c r="A5044" s="1" t="s">
        <v>5281</v>
      </c>
      <c r="B5044">
        <v>43794</v>
      </c>
    </row>
    <row r="5045" spans="1:2">
      <c r="A5045" s="1" t="s">
        <v>5282</v>
      </c>
      <c r="B5045">
        <v>43801</v>
      </c>
    </row>
    <row r="5046" spans="1:2">
      <c r="A5046" s="1" t="s">
        <v>5283</v>
      </c>
      <c r="B5046">
        <v>43742</v>
      </c>
    </row>
    <row r="5047" spans="1:2">
      <c r="A5047" s="1" t="s">
        <v>5284</v>
      </c>
      <c r="B5047">
        <v>43798</v>
      </c>
    </row>
    <row r="5048" spans="1:2">
      <c r="A5048" s="1" t="s">
        <v>5285</v>
      </c>
      <c r="B5048">
        <v>43809</v>
      </c>
    </row>
    <row r="5049" spans="1:2">
      <c r="A5049" s="1" t="s">
        <v>5286</v>
      </c>
      <c r="B5049">
        <v>43818</v>
      </c>
    </row>
    <row r="5050" spans="1:2">
      <c r="A5050" s="1" t="s">
        <v>5287</v>
      </c>
      <c r="B5050">
        <v>43511</v>
      </c>
    </row>
    <row r="5051" spans="1:2">
      <c r="A5051" s="1" t="s">
        <v>384</v>
      </c>
      <c r="B5051">
        <v>43815</v>
      </c>
    </row>
    <row r="5052" spans="1:2">
      <c r="A5052" s="1" t="s">
        <v>5288</v>
      </c>
      <c r="B5052">
        <v>43600</v>
      </c>
    </row>
    <row r="5053" spans="1:2">
      <c r="A5053" s="1" t="s">
        <v>145</v>
      </c>
      <c r="B5053">
        <v>43809</v>
      </c>
    </row>
    <row r="5054" spans="1:2">
      <c r="A5054" s="1" t="s">
        <v>5289</v>
      </c>
      <c r="B5054">
        <v>43798</v>
      </c>
    </row>
    <row r="5055" spans="1:2">
      <c r="A5055" s="1" t="s">
        <v>5290</v>
      </c>
      <c r="B5055">
        <v>43845</v>
      </c>
    </row>
    <row r="5056" spans="1:2">
      <c r="A5056" s="1" t="s">
        <v>314</v>
      </c>
      <c r="B5056">
        <v>43809</v>
      </c>
    </row>
    <row r="5057" spans="1:2">
      <c r="A5057" s="1" t="s">
        <v>5291</v>
      </c>
      <c r="B5057">
        <v>43826</v>
      </c>
    </row>
    <row r="5058" spans="1:2">
      <c r="A5058" s="1" t="s">
        <v>5292</v>
      </c>
      <c r="B5058">
        <v>43742</v>
      </c>
    </row>
    <row r="5059" spans="1:2">
      <c r="A5059" s="1" t="s">
        <v>5293</v>
      </c>
      <c r="B5059">
        <v>43738</v>
      </c>
    </row>
    <row r="5060" spans="1:2">
      <c r="A5060" s="1" t="s">
        <v>5294</v>
      </c>
      <c r="B5060">
        <v>43809</v>
      </c>
    </row>
    <row r="5061" spans="1:2">
      <c r="A5061" s="1" t="s">
        <v>5295</v>
      </c>
      <c r="B5061">
        <v>43735</v>
      </c>
    </row>
    <row r="5062" spans="1:2">
      <c r="A5062" s="1" t="s">
        <v>5296</v>
      </c>
      <c r="B5062">
        <v>43854</v>
      </c>
    </row>
    <row r="5063" spans="1:2">
      <c r="A5063" s="1" t="s">
        <v>5297</v>
      </c>
      <c r="B5063">
        <v>43745</v>
      </c>
    </row>
    <row r="5064" spans="1:2">
      <c r="A5064" s="1" t="s">
        <v>5298</v>
      </c>
      <c r="B5064">
        <v>43830</v>
      </c>
    </row>
    <row r="5065" spans="1:2">
      <c r="A5065" s="1" t="s">
        <v>5299</v>
      </c>
      <c r="B5065" t="s">
        <v>775</v>
      </c>
    </row>
    <row r="5066" spans="1:2">
      <c r="A5066" s="1" t="s">
        <v>5300</v>
      </c>
      <c r="B5066">
        <v>43733</v>
      </c>
    </row>
    <row r="5067" spans="1:2">
      <c r="A5067" s="1" t="s">
        <v>5301</v>
      </c>
      <c r="B5067">
        <v>43735</v>
      </c>
    </row>
    <row r="5068" spans="1:2">
      <c r="A5068" s="1" t="s">
        <v>5302</v>
      </c>
      <c r="B5068" t="s">
        <v>775</v>
      </c>
    </row>
    <row r="5069" spans="1:2">
      <c r="A5069" s="1" t="s">
        <v>5303</v>
      </c>
      <c r="B5069">
        <v>43738</v>
      </c>
    </row>
    <row r="5070" spans="1:2">
      <c r="A5070" s="1" t="s">
        <v>199</v>
      </c>
      <c r="B5070">
        <v>43816</v>
      </c>
    </row>
    <row r="5071" spans="1:2">
      <c r="A5071" s="1" t="s">
        <v>5304</v>
      </c>
      <c r="B5071">
        <v>43643</v>
      </c>
    </row>
    <row r="5072" spans="1:2">
      <c r="A5072" s="1" t="s">
        <v>80</v>
      </c>
      <c r="B5072">
        <v>43843</v>
      </c>
    </row>
    <row r="5073" spans="1:2">
      <c r="A5073" s="1" t="s">
        <v>5305</v>
      </c>
      <c r="B5073">
        <v>43740</v>
      </c>
    </row>
    <row r="5074" spans="1:2">
      <c r="A5074" s="1" t="s">
        <v>5306</v>
      </c>
      <c r="B5074">
        <v>43791</v>
      </c>
    </row>
    <row r="5075" spans="1:2">
      <c r="A5075" s="1" t="s">
        <v>5307</v>
      </c>
      <c r="B5075">
        <v>43809</v>
      </c>
    </row>
    <row r="5076" spans="1:2">
      <c r="A5076" s="1" t="s">
        <v>5308</v>
      </c>
      <c r="B5076" t="s">
        <v>775</v>
      </c>
    </row>
    <row r="5077" spans="1:2">
      <c r="A5077" s="1" t="s">
        <v>5309</v>
      </c>
      <c r="B5077">
        <v>43734</v>
      </c>
    </row>
    <row r="5078" spans="1:2">
      <c r="A5078" s="1" t="s">
        <v>5310</v>
      </c>
      <c r="B5078">
        <v>43733</v>
      </c>
    </row>
    <row r="5079" spans="1:2">
      <c r="A5079" s="1" t="s">
        <v>5311</v>
      </c>
      <c r="B5079">
        <v>43796</v>
      </c>
    </row>
    <row r="5080" spans="1:2">
      <c r="A5080" s="1" t="s">
        <v>5312</v>
      </c>
      <c r="B5080">
        <v>43790</v>
      </c>
    </row>
    <row r="5081" spans="1:2">
      <c r="A5081" s="1" t="s">
        <v>5313</v>
      </c>
      <c r="B5081">
        <v>43615</v>
      </c>
    </row>
    <row r="5082" spans="1:2">
      <c r="A5082" s="1" t="s">
        <v>5314</v>
      </c>
      <c r="B5082">
        <v>43819</v>
      </c>
    </row>
    <row r="5083" spans="1:2">
      <c r="A5083" s="1" t="s">
        <v>5315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5316</v>
      </c>
      <c r="B5085">
        <v>43847</v>
      </c>
    </row>
    <row r="5086" spans="1:2">
      <c r="A5086" s="1" t="s">
        <v>5317</v>
      </c>
      <c r="B5086">
        <v>43735</v>
      </c>
    </row>
    <row r="5087" spans="1:2">
      <c r="A5087" s="1" t="s">
        <v>5318</v>
      </c>
      <c r="B5087">
        <v>43817</v>
      </c>
    </row>
    <row r="5088" spans="1:2">
      <c r="A5088" s="1" t="s">
        <v>5319</v>
      </c>
      <c r="B5088">
        <v>43738</v>
      </c>
    </row>
    <row r="5089" spans="1:2">
      <c r="A5089" s="1" t="s">
        <v>5320</v>
      </c>
      <c r="B5089">
        <v>43762</v>
      </c>
    </row>
    <row r="5090" spans="1:2">
      <c r="A5090" s="1" t="s">
        <v>5321</v>
      </c>
      <c r="B5090">
        <v>43654</v>
      </c>
    </row>
    <row r="5091" spans="1:2">
      <c r="A5091" s="1" t="s">
        <v>5322</v>
      </c>
      <c r="B5091">
        <v>43815</v>
      </c>
    </row>
    <row r="5092" spans="1:2">
      <c r="A5092" s="1" t="s">
        <v>5323</v>
      </c>
      <c r="B5092">
        <v>43833</v>
      </c>
    </row>
    <row r="5093" spans="1:2">
      <c r="A5093" s="1" t="s">
        <v>5324</v>
      </c>
      <c r="B5093">
        <v>43769</v>
      </c>
    </row>
    <row r="5094" spans="1:2">
      <c r="A5094" s="1" t="s">
        <v>5325</v>
      </c>
      <c r="B5094">
        <v>43651</v>
      </c>
    </row>
    <row r="5095" spans="1:2">
      <c r="A5095" s="1" t="s">
        <v>5326</v>
      </c>
      <c r="B5095">
        <v>43733</v>
      </c>
    </row>
    <row r="5096" spans="1:2">
      <c r="A5096" s="1" t="s">
        <v>5327</v>
      </c>
      <c r="B5096">
        <v>43826</v>
      </c>
    </row>
    <row r="5097" spans="1:2">
      <c r="A5097" s="1" t="s">
        <v>5328</v>
      </c>
      <c r="B5097">
        <v>43832</v>
      </c>
    </row>
    <row r="5098" spans="1:2">
      <c r="A5098" s="1" t="s">
        <v>5329</v>
      </c>
      <c r="B5098">
        <v>43861</v>
      </c>
    </row>
    <row r="5099" spans="1:2">
      <c r="A5099" s="1" t="s">
        <v>5330</v>
      </c>
      <c r="B5099">
        <v>43738</v>
      </c>
    </row>
    <row r="5100" spans="1:2">
      <c r="A5100" s="1" t="s">
        <v>5331</v>
      </c>
      <c r="B5100">
        <v>43810</v>
      </c>
    </row>
    <row r="5101" spans="1:2">
      <c r="A5101" s="1" t="s">
        <v>5332</v>
      </c>
      <c r="B5101">
        <v>43738</v>
      </c>
    </row>
    <row r="5102" spans="1:2">
      <c r="A5102" s="1" t="s">
        <v>5333</v>
      </c>
      <c r="B5102">
        <v>43629</v>
      </c>
    </row>
    <row r="5103" spans="1:2">
      <c r="A5103" s="1" t="s">
        <v>5334</v>
      </c>
      <c r="B5103">
        <v>43818</v>
      </c>
    </row>
    <row r="5104" spans="1:2">
      <c r="A5104" s="1" t="s">
        <v>5335</v>
      </c>
      <c r="B5104">
        <v>43908</v>
      </c>
    </row>
    <row r="5105" spans="1:2">
      <c r="A5105" s="1" t="s">
        <v>5336</v>
      </c>
      <c r="B5105">
        <v>43819</v>
      </c>
    </row>
    <row r="5106" spans="1:2">
      <c r="A5106" s="1" t="s">
        <v>127</v>
      </c>
      <c r="B5106">
        <v>43677</v>
      </c>
    </row>
    <row r="5107" spans="1:2">
      <c r="A5107" s="1" t="s">
        <v>5337</v>
      </c>
      <c r="B5107">
        <v>43465</v>
      </c>
    </row>
    <row r="5108" spans="1:2">
      <c r="A5108" s="1" t="s">
        <v>5338</v>
      </c>
      <c r="B5108">
        <v>43921</v>
      </c>
    </row>
    <row r="5109" spans="1:2">
      <c r="A5109" s="1" t="s">
        <v>5339</v>
      </c>
      <c r="B5109">
        <v>43823</v>
      </c>
    </row>
    <row r="5110" spans="1:2">
      <c r="A5110" s="1" t="s">
        <v>5340</v>
      </c>
      <c r="B5110">
        <v>43825</v>
      </c>
    </row>
    <row r="5111" spans="1:2">
      <c r="A5111" s="1" t="s">
        <v>5341</v>
      </c>
      <c r="B5111">
        <v>43613</v>
      </c>
    </row>
    <row r="5112" spans="1:2">
      <c r="A5112" s="1" t="s">
        <v>5342</v>
      </c>
      <c r="B5112">
        <v>43805</v>
      </c>
    </row>
    <row r="5113" spans="1:2">
      <c r="A5113" s="1" t="s">
        <v>5343</v>
      </c>
      <c r="B5113">
        <v>43819</v>
      </c>
    </row>
    <row r="5114" spans="1:2">
      <c r="A5114" s="1" t="s">
        <v>5344</v>
      </c>
      <c r="B5114">
        <v>43773</v>
      </c>
    </row>
    <row r="5115" spans="1:2">
      <c r="A5115" s="1" t="s">
        <v>5345</v>
      </c>
      <c r="B5115">
        <v>43818</v>
      </c>
    </row>
    <row r="5116" spans="1:2">
      <c r="A5116" s="1" t="s">
        <v>5346</v>
      </c>
      <c r="B5116">
        <v>43647</v>
      </c>
    </row>
    <row r="5117" spans="1:2">
      <c r="A5117" s="1" t="s">
        <v>5347</v>
      </c>
      <c r="B5117">
        <v>43791</v>
      </c>
    </row>
    <row r="5118" spans="1:2">
      <c r="A5118" s="1" t="s">
        <v>5348</v>
      </c>
      <c r="B5118">
        <v>43740</v>
      </c>
    </row>
    <row r="5119" spans="1:2">
      <c r="A5119" s="1" t="s">
        <v>5349</v>
      </c>
      <c r="B5119">
        <v>43754</v>
      </c>
    </row>
    <row r="5120" spans="1:2">
      <c r="A5120" s="1" t="s">
        <v>5350</v>
      </c>
      <c r="B5120">
        <v>43577</v>
      </c>
    </row>
    <row r="5121" spans="1:2">
      <c r="A5121" s="1" t="s">
        <v>5351</v>
      </c>
      <c r="B5121">
        <v>43814</v>
      </c>
    </row>
    <row r="5122" spans="1:2">
      <c r="A5122" s="1" t="s">
        <v>5352</v>
      </c>
      <c r="B5122" t="s">
        <v>775</v>
      </c>
    </row>
    <row r="5123" spans="1:2">
      <c r="A5123" s="1" t="s">
        <v>5353</v>
      </c>
      <c r="B5123">
        <v>43467</v>
      </c>
    </row>
    <row r="5124" spans="1:2">
      <c r="A5124" s="1" t="s">
        <v>5354</v>
      </c>
      <c r="B5124">
        <v>43740</v>
      </c>
    </row>
    <row r="5125" spans="1:2">
      <c r="A5125" s="1" t="s">
        <v>5355</v>
      </c>
      <c r="B5125">
        <v>43803</v>
      </c>
    </row>
    <row r="5126" spans="1:2">
      <c r="A5126" s="1" t="s">
        <v>5356</v>
      </c>
      <c r="B5126">
        <v>43819</v>
      </c>
    </row>
    <row r="5127" spans="1:2">
      <c r="A5127" s="1" t="s">
        <v>5357</v>
      </c>
      <c r="B5127">
        <v>43819</v>
      </c>
    </row>
    <row r="5128" spans="1:2">
      <c r="A5128" s="1" t="s">
        <v>5358</v>
      </c>
      <c r="B5128">
        <v>43798</v>
      </c>
    </row>
    <row r="5129" spans="1:2">
      <c r="A5129" s="1" t="s">
        <v>5359</v>
      </c>
      <c r="B5129">
        <v>43819</v>
      </c>
    </row>
    <row r="5130" spans="1:2">
      <c r="A5130" s="1" t="s">
        <v>5360</v>
      </c>
      <c r="B5130">
        <v>43734</v>
      </c>
    </row>
    <row r="5131" spans="1:2">
      <c r="A5131" s="1" t="s">
        <v>5361</v>
      </c>
      <c r="B5131">
        <v>43760</v>
      </c>
    </row>
    <row r="5132" spans="1:2">
      <c r="A5132" s="1" t="s">
        <v>5362</v>
      </c>
      <c r="B5132">
        <v>43754</v>
      </c>
    </row>
    <row r="5133" spans="1:2">
      <c r="A5133" s="1" t="s">
        <v>5363</v>
      </c>
      <c r="B5133">
        <v>43819</v>
      </c>
    </row>
    <row r="5134" spans="1:2">
      <c r="A5134" s="1" t="s">
        <v>5364</v>
      </c>
      <c r="B5134">
        <v>43829</v>
      </c>
    </row>
    <row r="5135" spans="1:2">
      <c r="A5135" s="1" t="s">
        <v>5365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5366</v>
      </c>
      <c r="B5138">
        <v>43733</v>
      </c>
    </row>
    <row r="5139" spans="1:2">
      <c r="A5139" s="1" t="s">
        <v>5367</v>
      </c>
      <c r="B5139">
        <v>43738</v>
      </c>
    </row>
    <row r="5140" spans="1:2">
      <c r="A5140" s="1" t="s">
        <v>5368</v>
      </c>
      <c r="B5140">
        <v>43740</v>
      </c>
    </row>
    <row r="5141" spans="1:2">
      <c r="A5141" s="1" t="s">
        <v>5369</v>
      </c>
      <c r="B5141">
        <v>43826</v>
      </c>
    </row>
    <row r="5142" spans="1:2">
      <c r="A5142" s="1" t="s">
        <v>5370</v>
      </c>
      <c r="B5142">
        <v>43803</v>
      </c>
    </row>
    <row r="5143" spans="1:2">
      <c r="A5143" s="1" t="s">
        <v>5371</v>
      </c>
      <c r="B5143">
        <v>43753</v>
      </c>
    </row>
    <row r="5144" spans="1:2">
      <c r="A5144" s="1" t="s">
        <v>5372</v>
      </c>
      <c r="B5144" t="s">
        <v>775</v>
      </c>
    </row>
    <row r="5145" spans="1:2">
      <c r="A5145" s="1" t="s">
        <v>5373</v>
      </c>
      <c r="B5145">
        <v>43734</v>
      </c>
    </row>
    <row r="5146" spans="1:2">
      <c r="A5146" s="1" t="s">
        <v>5374</v>
      </c>
      <c r="B5146">
        <v>43817</v>
      </c>
    </row>
    <row r="5147" spans="1:2">
      <c r="A5147" s="1" t="s">
        <v>320</v>
      </c>
      <c r="B5147">
        <v>43804</v>
      </c>
    </row>
    <row r="5148" spans="1:2">
      <c r="A5148" s="1" t="s">
        <v>5375</v>
      </c>
      <c r="B5148">
        <v>43805</v>
      </c>
    </row>
    <row r="5149" spans="1:2">
      <c r="A5149" s="1" t="s">
        <v>5376</v>
      </c>
      <c r="B5149">
        <v>43819</v>
      </c>
    </row>
    <row r="5150" spans="1:2">
      <c r="A5150" s="1" t="s">
        <v>5377</v>
      </c>
      <c r="B5150">
        <v>43816</v>
      </c>
    </row>
    <row r="5151" spans="1:2">
      <c r="A5151" s="1" t="s">
        <v>5378</v>
      </c>
      <c r="B5151">
        <v>43800</v>
      </c>
    </row>
    <row r="5152" spans="1:2">
      <c r="A5152" s="1" t="s">
        <v>5379</v>
      </c>
      <c r="B5152">
        <v>43789</v>
      </c>
    </row>
    <row r="5153" spans="1:2">
      <c r="A5153" s="1" t="s">
        <v>5380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5381</v>
      </c>
      <c r="B5155">
        <v>43825</v>
      </c>
    </row>
    <row r="5156" spans="1:2">
      <c r="A5156" s="1" t="s">
        <v>5382</v>
      </c>
      <c r="B5156">
        <v>43830</v>
      </c>
    </row>
    <row r="5157" spans="1:2">
      <c r="A5157" s="1" t="s">
        <v>5383</v>
      </c>
      <c r="B5157">
        <v>43805</v>
      </c>
    </row>
    <row r="5158" spans="1:2">
      <c r="A5158" s="1" t="s">
        <v>5384</v>
      </c>
      <c r="B5158">
        <v>43654</v>
      </c>
    </row>
    <row r="5159" spans="1:2">
      <c r="A5159" s="1" t="s">
        <v>5385</v>
      </c>
      <c r="B5159">
        <v>43826</v>
      </c>
    </row>
    <row r="5160" spans="1:2">
      <c r="A5160" s="1" t="s">
        <v>566</v>
      </c>
      <c r="B5160">
        <v>43819</v>
      </c>
    </row>
    <row r="5161" spans="1:2">
      <c r="A5161" s="1" t="s">
        <v>5386</v>
      </c>
      <c r="B5161">
        <v>43759</v>
      </c>
    </row>
    <row r="5162" spans="1:2">
      <c r="A5162" s="1" t="s">
        <v>5387</v>
      </c>
      <c r="B5162">
        <v>43733</v>
      </c>
    </row>
    <row r="5163" spans="1:2">
      <c r="A5163" s="1" t="s">
        <v>5388</v>
      </c>
      <c r="B5163">
        <v>43790</v>
      </c>
    </row>
    <row r="5164" spans="1:2">
      <c r="A5164" s="1" t="s">
        <v>5389</v>
      </c>
      <c r="B5164">
        <v>43739</v>
      </c>
    </row>
    <row r="5165" spans="1:2">
      <c r="A5165" s="1" t="s">
        <v>5390</v>
      </c>
      <c r="B5165">
        <v>43759</v>
      </c>
    </row>
    <row r="5166" spans="1:2">
      <c r="A5166" s="1" t="s">
        <v>5391</v>
      </c>
      <c r="B5166">
        <v>43826</v>
      </c>
    </row>
    <row r="5167" spans="1:2">
      <c r="A5167" s="1" t="s">
        <v>5392</v>
      </c>
      <c r="B5167">
        <v>43686</v>
      </c>
    </row>
    <row r="5168" spans="1:2">
      <c r="A5168" s="1" t="s">
        <v>5393</v>
      </c>
      <c r="B5168">
        <v>43819</v>
      </c>
    </row>
    <row r="5169" spans="1:2">
      <c r="A5169" s="1" t="s">
        <v>5394</v>
      </c>
      <c r="B5169">
        <v>43461</v>
      </c>
    </row>
    <row r="5170" spans="1:2">
      <c r="A5170" s="1" t="s">
        <v>5395</v>
      </c>
      <c r="B5170">
        <v>43754</v>
      </c>
    </row>
    <row r="5171" spans="1:2">
      <c r="A5171" s="1" t="s">
        <v>5396</v>
      </c>
      <c r="B5171">
        <v>43462</v>
      </c>
    </row>
    <row r="5172" spans="1:2">
      <c r="A5172" s="1" t="s">
        <v>5397</v>
      </c>
      <c r="B5172">
        <v>43462</v>
      </c>
    </row>
    <row r="5173" spans="1:2">
      <c r="A5173" s="1" t="s">
        <v>5398</v>
      </c>
      <c r="B5173">
        <v>43781</v>
      </c>
    </row>
    <row r="5174" spans="1:2">
      <c r="A5174" s="1" t="s">
        <v>5399</v>
      </c>
      <c r="B5174">
        <v>43798</v>
      </c>
    </row>
    <row r="5175" spans="1:2">
      <c r="A5175" s="1" t="s">
        <v>5400</v>
      </c>
      <c r="B5175">
        <v>43732</v>
      </c>
    </row>
    <row r="5176" spans="1:2">
      <c r="A5176" s="1" t="s">
        <v>5401</v>
      </c>
      <c r="B5176">
        <v>43830</v>
      </c>
    </row>
    <row r="5177" spans="1:2">
      <c r="A5177" s="1" t="s">
        <v>5402</v>
      </c>
      <c r="B5177">
        <v>43577</v>
      </c>
    </row>
    <row r="5178" spans="1:2">
      <c r="A5178" s="1" t="s">
        <v>5403</v>
      </c>
      <c r="B5178">
        <v>43753</v>
      </c>
    </row>
    <row r="5179" spans="1:2">
      <c r="A5179" s="1" t="s">
        <v>5404</v>
      </c>
      <c r="B5179">
        <v>43840</v>
      </c>
    </row>
    <row r="5180" spans="1:2">
      <c r="A5180" s="1" t="s">
        <v>5405</v>
      </c>
      <c r="B5180">
        <v>43826</v>
      </c>
    </row>
    <row r="5181" spans="1:2">
      <c r="A5181" s="1" t="s">
        <v>5406</v>
      </c>
      <c r="B5181">
        <v>43671</v>
      </c>
    </row>
    <row r="5182" spans="1:2">
      <c r="A5182" s="1" t="s">
        <v>5407</v>
      </c>
      <c r="B5182">
        <v>43819</v>
      </c>
    </row>
    <row r="5183" spans="1:2">
      <c r="A5183" s="1" t="s">
        <v>5408</v>
      </c>
      <c r="B5183">
        <v>43830</v>
      </c>
    </row>
    <row r="5184" spans="1:2">
      <c r="A5184" s="1" t="s">
        <v>5409</v>
      </c>
      <c r="B5184" t="s">
        <v>775</v>
      </c>
    </row>
    <row r="5185" spans="1:2">
      <c r="A5185" s="1" t="s">
        <v>5410</v>
      </c>
      <c r="B5185">
        <v>43735</v>
      </c>
    </row>
    <row r="5186" spans="1:2">
      <c r="A5186" s="1" t="s">
        <v>5411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5412</v>
      </c>
      <c r="B5188">
        <v>43748</v>
      </c>
    </row>
    <row r="5189" spans="1:2">
      <c r="A5189" s="1" t="s">
        <v>5413</v>
      </c>
      <c r="B5189">
        <v>43755</v>
      </c>
    </row>
    <row r="5190" spans="1:2">
      <c r="A5190" s="1" t="s">
        <v>5414</v>
      </c>
      <c r="B5190">
        <v>43832</v>
      </c>
    </row>
    <row r="5191" spans="1:2">
      <c r="A5191" s="1" t="s">
        <v>5415</v>
      </c>
      <c r="B5191">
        <v>43794</v>
      </c>
    </row>
    <row r="5192" spans="1:2">
      <c r="A5192" s="1" t="s">
        <v>5416</v>
      </c>
      <c r="B5192">
        <v>43819</v>
      </c>
    </row>
    <row r="5193" spans="1:2">
      <c r="A5193" s="1" t="s">
        <v>5417</v>
      </c>
      <c r="B5193">
        <v>43818</v>
      </c>
    </row>
    <row r="5194" spans="1:2">
      <c r="A5194" s="1" t="s">
        <v>5418</v>
      </c>
      <c r="B5194">
        <v>43762</v>
      </c>
    </row>
    <row r="5195" spans="1:2">
      <c r="A5195" s="1" t="s">
        <v>5419</v>
      </c>
      <c r="B5195">
        <v>43774</v>
      </c>
    </row>
    <row r="5196" spans="1:2">
      <c r="A5196" s="1" t="s">
        <v>5420</v>
      </c>
      <c r="B5196">
        <v>43727</v>
      </c>
    </row>
    <row r="5197" spans="1:2">
      <c r="A5197" s="1" t="s">
        <v>5421</v>
      </c>
      <c r="B5197">
        <v>43819</v>
      </c>
    </row>
    <row r="5198" spans="1:2">
      <c r="A5198" s="1" t="s">
        <v>5422</v>
      </c>
      <c r="B5198">
        <v>43845</v>
      </c>
    </row>
    <row r="5199" spans="1:2">
      <c r="A5199" s="1" t="s">
        <v>142</v>
      </c>
      <c r="B5199">
        <v>43901</v>
      </c>
    </row>
    <row r="5200" spans="1:2">
      <c r="A5200" s="1" t="s">
        <v>5423</v>
      </c>
      <c r="B5200">
        <v>43738</v>
      </c>
    </row>
    <row r="5201" spans="1:2">
      <c r="A5201" s="1" t="s">
        <v>5424</v>
      </c>
      <c r="B5201">
        <v>43861</v>
      </c>
    </row>
    <row r="5202" spans="1:2">
      <c r="A5202" s="1" t="s">
        <v>5425</v>
      </c>
      <c r="B5202">
        <v>43633</v>
      </c>
    </row>
    <row r="5203" spans="1:2">
      <c r="A5203" s="1" t="s">
        <v>5426</v>
      </c>
      <c r="B5203">
        <v>43819</v>
      </c>
    </row>
    <row r="5204" spans="1:2">
      <c r="A5204" s="1" t="s">
        <v>5427</v>
      </c>
      <c r="B5204">
        <v>43830</v>
      </c>
    </row>
    <row r="5205" spans="1:2">
      <c r="A5205" s="1" t="s">
        <v>5428</v>
      </c>
      <c r="B5205">
        <v>43819</v>
      </c>
    </row>
    <row r="5206" spans="1:2">
      <c r="A5206" s="1" t="s">
        <v>5429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506</v>
      </c>
      <c r="B5208">
        <v>43826</v>
      </c>
    </row>
    <row r="5209" spans="1:2">
      <c r="A5209" s="1" t="s">
        <v>5430</v>
      </c>
      <c r="B5209">
        <v>43819</v>
      </c>
    </row>
    <row r="5210" spans="1:2">
      <c r="A5210" s="1" t="s">
        <v>5431</v>
      </c>
      <c r="B5210">
        <v>43822</v>
      </c>
    </row>
    <row r="5211" spans="1:2">
      <c r="A5211" s="1" t="s">
        <v>5432</v>
      </c>
      <c r="B5211">
        <v>43829</v>
      </c>
    </row>
    <row r="5212" spans="1:2">
      <c r="A5212" s="1" t="s">
        <v>5433</v>
      </c>
      <c r="B5212">
        <v>43791</v>
      </c>
    </row>
    <row r="5213" spans="1:2">
      <c r="A5213" s="1" t="s">
        <v>5434</v>
      </c>
      <c r="B5213">
        <v>43812</v>
      </c>
    </row>
    <row r="5214" spans="1:2">
      <c r="A5214" s="1" t="s">
        <v>5435</v>
      </c>
      <c r="B5214">
        <v>43718</v>
      </c>
    </row>
    <row r="5215" spans="1:2">
      <c r="A5215" s="1" t="s">
        <v>5436</v>
      </c>
      <c r="B5215">
        <v>43818</v>
      </c>
    </row>
    <row r="5216" spans="1:2">
      <c r="A5216" s="1" t="s">
        <v>5437</v>
      </c>
      <c r="B5216">
        <v>43819</v>
      </c>
    </row>
    <row r="5217" spans="1:2">
      <c r="A5217" s="1" t="s">
        <v>5438</v>
      </c>
      <c r="B5217">
        <v>43830</v>
      </c>
    </row>
    <row r="5218" spans="1:2">
      <c r="A5218" s="1" t="s">
        <v>5439</v>
      </c>
      <c r="B5218" t="s">
        <v>775</v>
      </c>
    </row>
    <row r="5219" spans="1:2">
      <c r="A5219" s="1" t="s">
        <v>5440</v>
      </c>
      <c r="B5219">
        <v>43710</v>
      </c>
    </row>
    <row r="5220" spans="1:2">
      <c r="A5220" s="1" t="s">
        <v>5441</v>
      </c>
      <c r="B5220">
        <v>43770</v>
      </c>
    </row>
    <row r="5221" spans="1:2">
      <c r="A5221" s="1" t="s">
        <v>5442</v>
      </c>
      <c r="B5221">
        <v>43740</v>
      </c>
    </row>
    <row r="5222" spans="1:2">
      <c r="A5222" s="1" t="s">
        <v>5443</v>
      </c>
      <c r="B5222">
        <v>43896</v>
      </c>
    </row>
    <row r="5223" spans="1:2">
      <c r="A5223" s="1" t="s">
        <v>5444</v>
      </c>
      <c r="B5223">
        <v>43791</v>
      </c>
    </row>
    <row r="5224" spans="1:2">
      <c r="A5224" s="1" t="s">
        <v>5445</v>
      </c>
      <c r="B5224">
        <v>43740</v>
      </c>
    </row>
    <row r="5225" spans="1:2">
      <c r="A5225" s="1" t="s">
        <v>5446</v>
      </c>
      <c r="B5225">
        <v>43647</v>
      </c>
    </row>
    <row r="5226" spans="1:2">
      <c r="A5226" s="1" t="s">
        <v>5447</v>
      </c>
      <c r="B5226">
        <v>43734</v>
      </c>
    </row>
    <row r="5227" spans="1:2">
      <c r="A5227" s="1" t="s">
        <v>5448</v>
      </c>
      <c r="B5227">
        <v>43812</v>
      </c>
    </row>
    <row r="5228" spans="1:2">
      <c r="A5228" s="1" t="s">
        <v>5449</v>
      </c>
      <c r="B5228">
        <v>43739</v>
      </c>
    </row>
    <row r="5229" spans="1:2">
      <c r="A5229" s="1" t="s">
        <v>5450</v>
      </c>
      <c r="B5229">
        <v>43808</v>
      </c>
    </row>
    <row r="5230" spans="1:2">
      <c r="A5230" s="1" t="s">
        <v>5451</v>
      </c>
      <c r="B5230">
        <v>43748</v>
      </c>
    </row>
    <row r="5231" spans="1:2">
      <c r="A5231" s="1" t="s">
        <v>5452</v>
      </c>
      <c r="B5231">
        <v>43789</v>
      </c>
    </row>
    <row r="5232" spans="1:2">
      <c r="A5232" s="1" t="s">
        <v>5453</v>
      </c>
      <c r="B5232">
        <v>43675</v>
      </c>
    </row>
    <row r="5233" spans="1:2">
      <c r="A5233" s="1" t="s">
        <v>5454</v>
      </c>
      <c r="B5233">
        <v>43830</v>
      </c>
    </row>
    <row r="5234" spans="1:2">
      <c r="A5234" s="1" t="s">
        <v>5455</v>
      </c>
      <c r="B5234">
        <v>43733</v>
      </c>
    </row>
    <row r="5235" spans="1:2">
      <c r="A5235" s="1" t="s">
        <v>5456</v>
      </c>
      <c r="B5235">
        <v>43738</v>
      </c>
    </row>
    <row r="5236" spans="1:2">
      <c r="A5236" s="1" t="s">
        <v>5457</v>
      </c>
      <c r="B5236">
        <v>43798</v>
      </c>
    </row>
    <row r="5237" spans="1:2">
      <c r="A5237" s="1" t="s">
        <v>5458</v>
      </c>
      <c r="B5237">
        <v>43654</v>
      </c>
    </row>
    <row r="5238" spans="1:2">
      <c r="A5238" s="1" t="s">
        <v>5459</v>
      </c>
      <c r="B5238" t="s">
        <v>775</v>
      </c>
    </row>
    <row r="5239" spans="1:2">
      <c r="A5239" s="1" t="s">
        <v>5460</v>
      </c>
      <c r="B5239">
        <v>43804</v>
      </c>
    </row>
    <row r="5240" spans="1:2">
      <c r="A5240" s="1" t="s">
        <v>5461</v>
      </c>
      <c r="B5240">
        <v>43738</v>
      </c>
    </row>
    <row r="5241" spans="1:2">
      <c r="A5241" s="1" t="s">
        <v>5462</v>
      </c>
      <c r="B5241">
        <v>43759</v>
      </c>
    </row>
    <row r="5242" spans="1:2">
      <c r="A5242" s="1" t="s">
        <v>5463</v>
      </c>
      <c r="B5242">
        <v>43801</v>
      </c>
    </row>
    <row r="5243" spans="1:2">
      <c r="A5243" s="1" t="s">
        <v>5464</v>
      </c>
      <c r="B5243">
        <v>43461</v>
      </c>
    </row>
    <row r="5244" spans="1:2">
      <c r="A5244" s="1" t="s">
        <v>5465</v>
      </c>
      <c r="B5244">
        <v>43826</v>
      </c>
    </row>
    <row r="5245" spans="1:2">
      <c r="A5245" s="1" t="s">
        <v>5466</v>
      </c>
      <c r="B5245">
        <v>43738</v>
      </c>
    </row>
    <row r="5246" spans="1:2">
      <c r="A5246" s="1" t="s">
        <v>5467</v>
      </c>
      <c r="B5246">
        <v>43812</v>
      </c>
    </row>
    <row r="5247" spans="1:2">
      <c r="A5247" s="1" t="s">
        <v>5468</v>
      </c>
      <c r="B5247">
        <v>43742</v>
      </c>
    </row>
    <row r="5248" spans="1:2">
      <c r="A5248" s="1" t="s">
        <v>5469</v>
      </c>
      <c r="B5248">
        <v>43734</v>
      </c>
    </row>
    <row r="5249" spans="1:2">
      <c r="A5249" s="1" t="s">
        <v>5470</v>
      </c>
      <c r="B5249">
        <v>43822</v>
      </c>
    </row>
    <row r="5250" spans="1:2">
      <c r="A5250" s="1" t="s">
        <v>5471</v>
      </c>
      <c r="B5250">
        <v>43866</v>
      </c>
    </row>
    <row r="5251" spans="1:2">
      <c r="A5251" s="1" t="s">
        <v>5472</v>
      </c>
      <c r="B5251">
        <v>43861</v>
      </c>
    </row>
    <row r="5252" spans="1:2">
      <c r="A5252" s="1" t="s">
        <v>5473</v>
      </c>
      <c r="B5252">
        <v>43738</v>
      </c>
    </row>
    <row r="5253" spans="1:2">
      <c r="A5253" s="1" t="s">
        <v>5474</v>
      </c>
      <c r="B5253">
        <v>43830</v>
      </c>
    </row>
    <row r="5254" spans="1:2">
      <c r="A5254" s="1" t="s">
        <v>5475</v>
      </c>
      <c r="B5254">
        <v>43655</v>
      </c>
    </row>
    <row r="5255" spans="1:2">
      <c r="A5255" s="1" t="s">
        <v>5476</v>
      </c>
      <c r="B5255" t="s">
        <v>775</v>
      </c>
    </row>
    <row r="5256" spans="1:2">
      <c r="A5256" s="1" t="s">
        <v>5477</v>
      </c>
      <c r="B5256">
        <v>43840</v>
      </c>
    </row>
    <row r="5257" spans="1:2">
      <c r="A5257" s="1" t="s">
        <v>5478</v>
      </c>
      <c r="B5257">
        <v>43735</v>
      </c>
    </row>
    <row r="5258" spans="1:2">
      <c r="A5258" s="1" t="s">
        <v>5479</v>
      </c>
      <c r="B5258">
        <v>43467</v>
      </c>
    </row>
    <row r="5259" spans="1:2">
      <c r="A5259" s="1" t="s">
        <v>5480</v>
      </c>
      <c r="B5259">
        <v>43830</v>
      </c>
    </row>
    <row r="5260" spans="1:2">
      <c r="A5260" s="1" t="s">
        <v>5481</v>
      </c>
      <c r="B5260">
        <v>43623</v>
      </c>
    </row>
    <row r="5261" spans="1:2">
      <c r="A5261" s="1" t="s">
        <v>5482</v>
      </c>
      <c r="B5261">
        <v>43767</v>
      </c>
    </row>
    <row r="5262" spans="1:2">
      <c r="A5262" s="1" t="s">
        <v>5483</v>
      </c>
      <c r="B5262">
        <v>43672</v>
      </c>
    </row>
    <row r="5263" spans="1:2">
      <c r="A5263" s="1" t="s">
        <v>5484</v>
      </c>
      <c r="B5263">
        <v>43812</v>
      </c>
    </row>
    <row r="5264" spans="1:2">
      <c r="A5264" s="1" t="s">
        <v>5485</v>
      </c>
      <c r="B5264">
        <v>43755</v>
      </c>
    </row>
    <row r="5265" spans="1:2">
      <c r="A5265" s="1" t="s">
        <v>5486</v>
      </c>
      <c r="B5265">
        <v>43594</v>
      </c>
    </row>
    <row r="5266" spans="1:2">
      <c r="A5266" s="1" t="s">
        <v>5487</v>
      </c>
      <c r="B5266">
        <v>43622</v>
      </c>
    </row>
    <row r="5267" spans="1:2">
      <c r="A5267" s="1" t="s">
        <v>5488</v>
      </c>
      <c r="B5267">
        <v>43560</v>
      </c>
    </row>
    <row r="5268" spans="1:2">
      <c r="A5268" s="1" t="s">
        <v>5489</v>
      </c>
      <c r="B5268" t="s">
        <v>775</v>
      </c>
    </row>
    <row r="5269" spans="1:2">
      <c r="A5269" s="1" t="s">
        <v>5490</v>
      </c>
      <c r="B5269">
        <v>43742</v>
      </c>
    </row>
    <row r="5270" spans="1:2">
      <c r="A5270" s="1" t="s">
        <v>5491</v>
      </c>
      <c r="B5270">
        <v>43819</v>
      </c>
    </row>
    <row r="5271" spans="1:2">
      <c r="A5271" s="1" t="s">
        <v>5492</v>
      </c>
      <c r="B5271">
        <v>43804</v>
      </c>
    </row>
    <row r="5272" spans="1:2">
      <c r="A5272" s="1" t="s">
        <v>5493</v>
      </c>
      <c r="B5272">
        <v>43738</v>
      </c>
    </row>
    <row r="5273" spans="1:2">
      <c r="A5273" s="1" t="s">
        <v>5494</v>
      </c>
      <c r="B5273">
        <v>43812</v>
      </c>
    </row>
    <row r="5274" spans="1:2">
      <c r="A5274" s="1" t="s">
        <v>99</v>
      </c>
      <c r="B5274">
        <v>43801</v>
      </c>
    </row>
    <row r="5275" spans="1:2">
      <c r="A5275" s="1" t="s">
        <v>340</v>
      </c>
      <c r="B5275">
        <v>43810</v>
      </c>
    </row>
    <row r="5276" spans="1:2">
      <c r="A5276" s="1" t="s">
        <v>5495</v>
      </c>
      <c r="B5276">
        <v>43636</v>
      </c>
    </row>
    <row r="5277" spans="1:2">
      <c r="A5277" s="1" t="s">
        <v>5496</v>
      </c>
      <c r="B5277">
        <v>43740</v>
      </c>
    </row>
    <row r="5278" spans="1:2">
      <c r="A5278" s="1" t="s">
        <v>5497</v>
      </c>
      <c r="B5278">
        <v>43739</v>
      </c>
    </row>
    <row r="5279" spans="1:2">
      <c r="A5279" s="1" t="s">
        <v>5498</v>
      </c>
      <c r="B5279">
        <v>43826</v>
      </c>
    </row>
    <row r="5280" spans="1:2">
      <c r="A5280" s="1" t="s">
        <v>5499</v>
      </c>
      <c r="B5280">
        <v>43740</v>
      </c>
    </row>
    <row r="5281" spans="1:2">
      <c r="A5281" s="1" t="s">
        <v>5500</v>
      </c>
      <c r="B5281">
        <v>43798</v>
      </c>
    </row>
    <row r="5282" spans="1:2">
      <c r="A5282" s="1" t="s">
        <v>5501</v>
      </c>
      <c r="B5282">
        <v>43815</v>
      </c>
    </row>
    <row r="5283" spans="1:2">
      <c r="A5283" s="1" t="s">
        <v>244</v>
      </c>
      <c r="B5283">
        <v>43713</v>
      </c>
    </row>
    <row r="5284" spans="1:2">
      <c r="A5284" s="1" t="s">
        <v>5502</v>
      </c>
      <c r="B5284">
        <v>43734</v>
      </c>
    </row>
    <row r="5285" spans="1:2">
      <c r="A5285" s="1" t="s">
        <v>5503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5504</v>
      </c>
      <c r="B5288">
        <v>43832</v>
      </c>
    </row>
    <row r="5289" spans="1:2">
      <c r="A5289" s="1" t="s">
        <v>5505</v>
      </c>
      <c r="B5289">
        <v>43819</v>
      </c>
    </row>
    <row r="5290" spans="1:2">
      <c r="A5290" s="1" t="s">
        <v>5506</v>
      </c>
      <c r="B5290" t="s">
        <v>775</v>
      </c>
    </row>
    <row r="5291" spans="1:2">
      <c r="A5291" s="1" t="s">
        <v>5507</v>
      </c>
      <c r="B5291">
        <v>43742</v>
      </c>
    </row>
    <row r="5292" spans="1:2">
      <c r="A5292" s="1" t="s">
        <v>5508</v>
      </c>
      <c r="B5292">
        <v>43825</v>
      </c>
    </row>
    <row r="5293" spans="1:2">
      <c r="A5293" s="1" t="s">
        <v>5509</v>
      </c>
      <c r="B5293">
        <v>43738</v>
      </c>
    </row>
    <row r="5294" spans="1:2">
      <c r="A5294" s="1" t="s">
        <v>116</v>
      </c>
      <c r="B5294">
        <v>43812</v>
      </c>
    </row>
    <row r="5295" spans="1:2">
      <c r="A5295" s="1" t="s">
        <v>5510</v>
      </c>
      <c r="B5295">
        <v>43677</v>
      </c>
    </row>
    <row r="5296" spans="1:2">
      <c r="A5296" s="1" t="s">
        <v>599</v>
      </c>
      <c r="B5296">
        <v>43815</v>
      </c>
    </row>
    <row r="5297" spans="1:2">
      <c r="A5297" s="1" t="s">
        <v>5511</v>
      </c>
      <c r="B5297" t="s">
        <v>775</v>
      </c>
    </row>
    <row r="5298" spans="1:2">
      <c r="A5298" s="1" t="s">
        <v>5512</v>
      </c>
      <c r="B5298">
        <v>43845</v>
      </c>
    </row>
    <row r="5299" spans="1:2">
      <c r="A5299" s="1" t="s">
        <v>5513</v>
      </c>
      <c r="B5299">
        <v>43465</v>
      </c>
    </row>
    <row r="5300" spans="1:2">
      <c r="A5300" s="1" t="s">
        <v>5514</v>
      </c>
      <c r="B5300">
        <v>43819</v>
      </c>
    </row>
    <row r="5301" spans="1:2">
      <c r="A5301" s="1" t="s">
        <v>5515</v>
      </c>
      <c r="B5301">
        <v>43657</v>
      </c>
    </row>
    <row r="5302" spans="1:2">
      <c r="A5302" s="1" t="s">
        <v>5516</v>
      </c>
      <c r="B5302">
        <v>43845</v>
      </c>
    </row>
    <row r="5303" spans="1:2">
      <c r="A5303" s="1" t="s">
        <v>5517</v>
      </c>
      <c r="B5303">
        <v>43733</v>
      </c>
    </row>
    <row r="5304" spans="1:2">
      <c r="A5304" s="1" t="s">
        <v>5518</v>
      </c>
      <c r="B5304">
        <v>43740</v>
      </c>
    </row>
    <row r="5305" spans="1:2">
      <c r="A5305" s="1" t="s">
        <v>5519</v>
      </c>
      <c r="B5305">
        <v>43739</v>
      </c>
    </row>
    <row r="5306" spans="1:2">
      <c r="A5306" s="1" t="s">
        <v>5520</v>
      </c>
      <c r="B5306">
        <v>43805</v>
      </c>
    </row>
    <row r="5307" spans="1:2">
      <c r="A5307" s="1" t="s">
        <v>5521</v>
      </c>
      <c r="B5307" t="s">
        <v>775</v>
      </c>
    </row>
    <row r="5308" spans="1:2">
      <c r="A5308" s="1" t="s">
        <v>5522</v>
      </c>
      <c r="B5308">
        <v>43738</v>
      </c>
    </row>
    <row r="5309" spans="1:2">
      <c r="A5309" s="1" t="s">
        <v>5523</v>
      </c>
      <c r="B5309">
        <v>43790</v>
      </c>
    </row>
    <row r="5310" spans="1:2">
      <c r="A5310" s="1" t="s">
        <v>5524</v>
      </c>
      <c r="B5310">
        <v>43830</v>
      </c>
    </row>
    <row r="5311" spans="1:2">
      <c r="A5311" s="1" t="s">
        <v>5525</v>
      </c>
      <c r="B5311">
        <v>43798</v>
      </c>
    </row>
    <row r="5312" spans="1:2">
      <c r="A5312" s="1" t="s">
        <v>5526</v>
      </c>
      <c r="B5312">
        <v>43766</v>
      </c>
    </row>
    <row r="5313" spans="1:2">
      <c r="A5313" s="1" t="s">
        <v>5527</v>
      </c>
      <c r="B5313">
        <v>43805</v>
      </c>
    </row>
    <row r="5314" spans="1:2">
      <c r="A5314" s="1" t="s">
        <v>5528</v>
      </c>
      <c r="B5314">
        <v>43733</v>
      </c>
    </row>
    <row r="5315" spans="1:2">
      <c r="A5315" s="1" t="s">
        <v>94</v>
      </c>
      <c r="B5315">
        <v>43815</v>
      </c>
    </row>
    <row r="5316" spans="1:2">
      <c r="A5316" s="1" t="s">
        <v>5529</v>
      </c>
      <c r="B5316">
        <v>43787</v>
      </c>
    </row>
    <row r="5317" spans="1:2">
      <c r="A5317" s="1" t="s">
        <v>5530</v>
      </c>
      <c r="B5317">
        <v>43798</v>
      </c>
    </row>
    <row r="5318" spans="1:2">
      <c r="A5318" s="1" t="s">
        <v>5531</v>
      </c>
      <c r="B5318">
        <v>43812</v>
      </c>
    </row>
    <row r="5319" spans="1:2">
      <c r="A5319" s="1" t="s">
        <v>5532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406</v>
      </c>
      <c r="B5321">
        <v>43801</v>
      </c>
    </row>
    <row r="5322" spans="1:2">
      <c r="A5322" s="1" t="s">
        <v>5533</v>
      </c>
      <c r="B5322">
        <v>43682</v>
      </c>
    </row>
    <row r="5323" spans="1:2">
      <c r="A5323" s="1" t="s">
        <v>5534</v>
      </c>
      <c r="B5323">
        <v>43598</v>
      </c>
    </row>
    <row r="5324" spans="1:2">
      <c r="A5324" s="1" t="s">
        <v>5535</v>
      </c>
      <c r="B5324">
        <v>43845</v>
      </c>
    </row>
    <row r="5325" spans="1:2">
      <c r="A5325" s="1" t="s">
        <v>5536</v>
      </c>
      <c r="B5325">
        <v>43721</v>
      </c>
    </row>
    <row r="5326" spans="1:2">
      <c r="A5326" s="1" t="s">
        <v>5537</v>
      </c>
      <c r="B5326">
        <v>43465</v>
      </c>
    </row>
    <row r="5327" spans="1:2">
      <c r="A5327" s="1" t="s">
        <v>5538</v>
      </c>
      <c r="B5327">
        <v>43830</v>
      </c>
    </row>
    <row r="5328" spans="1:2">
      <c r="A5328" s="1" t="s">
        <v>5539</v>
      </c>
      <c r="B5328">
        <v>43749</v>
      </c>
    </row>
    <row r="5329" spans="1:2">
      <c r="A5329" s="1" t="s">
        <v>5540</v>
      </c>
      <c r="B5329">
        <v>43738</v>
      </c>
    </row>
    <row r="5330" spans="1:2">
      <c r="A5330" s="1" t="s">
        <v>5541</v>
      </c>
      <c r="B5330">
        <v>43868</v>
      </c>
    </row>
    <row r="5331" spans="1:2">
      <c r="A5331" s="1" t="s">
        <v>5542</v>
      </c>
      <c r="B5331">
        <v>43691</v>
      </c>
    </row>
    <row r="5332" spans="1:2">
      <c r="A5332" s="1" t="s">
        <v>5543</v>
      </c>
      <c r="B5332">
        <v>43783</v>
      </c>
    </row>
    <row r="5333" spans="1:2">
      <c r="A5333" s="1" t="s">
        <v>5544</v>
      </c>
      <c r="B5333" t="s">
        <v>775</v>
      </c>
    </row>
    <row r="5334" spans="1:2">
      <c r="A5334" s="1" t="s">
        <v>5545</v>
      </c>
      <c r="B5334">
        <v>43465</v>
      </c>
    </row>
    <row r="5335" spans="1:2">
      <c r="A5335" s="1" t="s">
        <v>5546</v>
      </c>
      <c r="B5335">
        <v>43740</v>
      </c>
    </row>
    <row r="5336" spans="1:2">
      <c r="A5336" s="1" t="s">
        <v>5547</v>
      </c>
      <c r="B5336">
        <v>43745</v>
      </c>
    </row>
    <row r="5337" spans="1:2">
      <c r="A5337" s="1" t="s">
        <v>5548</v>
      </c>
      <c r="B5337">
        <v>43819</v>
      </c>
    </row>
    <row r="5338" spans="1:2">
      <c r="A5338" s="1" t="s">
        <v>274</v>
      </c>
      <c r="B5338">
        <v>43798</v>
      </c>
    </row>
    <row r="5339" spans="1:2">
      <c r="A5339" s="1" t="s">
        <v>5549</v>
      </c>
      <c r="B5339">
        <v>43803</v>
      </c>
    </row>
    <row r="5340" spans="1:2">
      <c r="A5340" s="1" t="s">
        <v>5550</v>
      </c>
      <c r="B5340">
        <v>43830</v>
      </c>
    </row>
    <row r="5341" spans="1:2">
      <c r="A5341" s="1" t="s">
        <v>5551</v>
      </c>
      <c r="B5341">
        <v>43826</v>
      </c>
    </row>
    <row r="5342" spans="1:2">
      <c r="A5342" s="1" t="s">
        <v>5552</v>
      </c>
      <c r="B5342">
        <v>43689</v>
      </c>
    </row>
    <row r="5343" spans="1:2">
      <c r="A5343" s="1" t="s">
        <v>5553</v>
      </c>
      <c r="B5343">
        <v>43740</v>
      </c>
    </row>
    <row r="5344" spans="1:2">
      <c r="A5344" s="1" t="s">
        <v>5554</v>
      </c>
      <c r="B5344">
        <v>43714</v>
      </c>
    </row>
    <row r="5345" spans="1:2">
      <c r="A5345" s="1" t="s">
        <v>5555</v>
      </c>
      <c r="B5345">
        <v>43817</v>
      </c>
    </row>
    <row r="5346" spans="1:2">
      <c r="A5346" s="1" t="s">
        <v>5556</v>
      </c>
      <c r="B5346" t="s">
        <v>775</v>
      </c>
    </row>
    <row r="5347" spans="1:2">
      <c r="A5347" s="1" t="s">
        <v>5557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5558</v>
      </c>
      <c r="B5349" t="s">
        <v>775</v>
      </c>
    </row>
    <row r="5350" spans="1:2">
      <c r="A5350" s="1" t="s">
        <v>5559</v>
      </c>
      <c r="B5350">
        <v>43809</v>
      </c>
    </row>
    <row r="5351" spans="1:2">
      <c r="A5351" s="1" t="s">
        <v>5560</v>
      </c>
      <c r="B5351">
        <v>43819</v>
      </c>
    </row>
    <row r="5352" spans="1:2">
      <c r="A5352" s="1" t="s">
        <v>5561</v>
      </c>
      <c r="B5352">
        <v>43553</v>
      </c>
    </row>
    <row r="5353" spans="1:2">
      <c r="A5353" s="1" t="s">
        <v>5562</v>
      </c>
      <c r="B5353">
        <v>43516</v>
      </c>
    </row>
    <row r="5354" spans="1:2">
      <c r="A5354" s="1" t="s">
        <v>5563</v>
      </c>
      <c r="B5354">
        <v>43805</v>
      </c>
    </row>
    <row r="5355" spans="1:2">
      <c r="A5355" s="1" t="s">
        <v>5564</v>
      </c>
      <c r="B5355">
        <v>43735</v>
      </c>
    </row>
    <row r="5356" spans="1:2">
      <c r="A5356" s="1" t="s">
        <v>5565</v>
      </c>
      <c r="B5356">
        <v>43613</v>
      </c>
    </row>
    <row r="5357" spans="1:2">
      <c r="A5357" s="1" t="s">
        <v>5566</v>
      </c>
      <c r="B5357">
        <v>43805</v>
      </c>
    </row>
    <row r="5358" spans="1:2">
      <c r="A5358" s="1" t="s">
        <v>5567</v>
      </c>
      <c r="B5358">
        <v>43812</v>
      </c>
    </row>
    <row r="5359" spans="1:2">
      <c r="A5359" s="1" t="s">
        <v>5568</v>
      </c>
      <c r="B5359">
        <v>43830</v>
      </c>
    </row>
    <row r="5360" spans="1:2">
      <c r="A5360" s="1" t="s">
        <v>5569</v>
      </c>
      <c r="B5360">
        <v>43724</v>
      </c>
    </row>
    <row r="5361" spans="1:2">
      <c r="A5361" s="1" t="s">
        <v>5570</v>
      </c>
      <c r="B5361">
        <v>43654</v>
      </c>
    </row>
    <row r="5362" spans="1:2">
      <c r="A5362" s="1" t="s">
        <v>769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66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103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117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258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631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220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387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334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268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68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489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39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34</v>
      </c>
      <c r="B5559">
        <v>43815</v>
      </c>
    </row>
    <row r="5560" spans="1:2">
      <c r="A5560" s="1" t="s">
        <v>83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419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168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130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454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43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298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455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67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136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180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299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77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139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158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434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457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188</v>
      </c>
      <c r="B5882">
        <v>43613</v>
      </c>
    </row>
    <row r="5883" spans="1:2">
      <c r="A5883" s="1" t="s">
        <v>514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570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107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630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148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408</v>
      </c>
      <c r="B5927">
        <v>43784</v>
      </c>
    </row>
    <row r="5928" spans="1:2">
      <c r="A5928" s="1" t="s">
        <v>227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122</v>
      </c>
      <c r="B5933">
        <v>43811</v>
      </c>
    </row>
    <row r="5934" spans="1:2">
      <c r="A5934" s="1" t="s">
        <v>722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129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78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73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140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601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375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470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449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57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368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271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126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161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44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471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348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412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539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398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138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574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416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451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69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282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682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462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211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683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210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509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2021-10-19T07:13:11Z</dcterms:created>
  <dcterms:modified xsi:type="dcterms:W3CDTF">2021-10-19T07:13:11Z</dcterms:modified>
</cp:coreProperties>
</file>