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<sst xmlns="http://schemas.openxmlformats.org/spreadsheetml/2006/main" count="20665" uniqueCount="10119">
  <si>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</si>
  <si>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</si>
  <si>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</si>
  <si>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</si>
  <si>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</si>
  <si>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</si>
  <si>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</si>
  <si>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</si>
  <si>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</si>
  <si>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</si>
  <si>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</si>
  <si>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</si>
  <si>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</si>
  <si>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</si>
  <si>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</si>
  <si>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</si>
  <si>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</si>
  <si>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</si>
  <si>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</si>
  <si>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</si>
  <si>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</si>
  <si>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</si>
  <si>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</si>
  <si>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</si>
  <si>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</si>
  <si>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FDX</t>
  </si>
  <si>
    <t>ABM</t>
  </si>
  <si>
    <t>SLGN</t>
  </si>
  <si>
    <t>UNM</t>
  </si>
  <si>
    <t>DCI</t>
  </si>
  <si>
    <t>ADM</t>
  </si>
  <si>
    <t>PII</t>
  </si>
  <si>
    <t>EBTC</t>
  </si>
  <si>
    <t>TNC</t>
  </si>
  <si>
    <t>PH</t>
  </si>
  <si>
    <t>BANF</t>
  </si>
  <si>
    <t>BBY</t>
  </si>
  <si>
    <t>ATO</t>
  </si>
  <si>
    <t>NOC</t>
  </si>
  <si>
    <t>ABBV</t>
  </si>
  <si>
    <t>ANTM</t>
  </si>
  <si>
    <t>NFG</t>
  </si>
  <si>
    <t>LOW</t>
  </si>
  <si>
    <t>MDU</t>
  </si>
  <si>
    <t>SWK</t>
  </si>
  <si>
    <t>BDX</t>
  </si>
  <si>
    <t>ROP</t>
  </si>
  <si>
    <t>WBA</t>
  </si>
  <si>
    <t>EFSI</t>
  </si>
  <si>
    <t>PPG</t>
  </si>
  <si>
    <t>CTBI</t>
  </si>
  <si>
    <t>AXS</t>
  </si>
  <si>
    <t>CP</t>
  </si>
  <si>
    <t>RNR</t>
  </si>
  <si>
    <t>BKH</t>
  </si>
  <si>
    <t>MATW</t>
  </si>
  <si>
    <t>SWKS</t>
  </si>
  <si>
    <t>FMCB</t>
  </si>
  <si>
    <t>JW.A</t>
  </si>
  <si>
    <t>SYK</t>
  </si>
  <si>
    <t>BRC</t>
  </si>
  <si>
    <t>CAH</t>
  </si>
  <si>
    <t>SEIC</t>
  </si>
  <si>
    <t>WHR</t>
  </si>
  <si>
    <t>LEG</t>
  </si>
  <si>
    <t>SKM</t>
  </si>
  <si>
    <t>MMM</t>
  </si>
  <si>
    <t>QCOM</t>
  </si>
  <si>
    <t>LHX</t>
  </si>
  <si>
    <t>JNJ</t>
  </si>
  <si>
    <t>RE</t>
  </si>
  <si>
    <t>SCL</t>
  </si>
  <si>
    <t>NIDB</t>
  </si>
  <si>
    <t>AMP</t>
  </si>
  <si>
    <t>MCK</t>
  </si>
  <si>
    <t>TSN</t>
  </si>
  <si>
    <t>FMS</t>
  </si>
  <si>
    <t>WMT</t>
  </si>
  <si>
    <t>VFC</t>
  </si>
  <si>
    <t>AFL</t>
  </si>
  <si>
    <t>CINF</t>
  </si>
  <si>
    <t>ADP</t>
  </si>
  <si>
    <t>TMO</t>
  </si>
  <si>
    <t>INTU</t>
  </si>
  <si>
    <t>BEN</t>
  </si>
  <si>
    <t>FFMR</t>
  </si>
  <si>
    <t>RPM</t>
  </si>
  <si>
    <t>NWN</t>
  </si>
  <si>
    <t>CL</t>
  </si>
  <si>
    <t>SON</t>
  </si>
  <si>
    <t>DG</t>
  </si>
  <si>
    <t>UGI</t>
  </si>
  <si>
    <t>AIZ</t>
  </si>
  <si>
    <t>TRV</t>
  </si>
  <si>
    <t>CSX</t>
  </si>
  <si>
    <t>ABC</t>
  </si>
  <si>
    <t>LANC</t>
  </si>
  <si>
    <t>CPKF</t>
  </si>
  <si>
    <t>MKC</t>
  </si>
  <si>
    <t>GD</t>
  </si>
  <si>
    <t>FUL</t>
  </si>
  <si>
    <t>GPC</t>
  </si>
  <si>
    <t>AROW</t>
  </si>
  <si>
    <t>SYY</t>
  </si>
  <si>
    <t>HRL</t>
  </si>
  <si>
    <t>KR</t>
  </si>
  <si>
    <t>CHD</t>
  </si>
  <si>
    <t>EXPD</t>
  </si>
  <si>
    <t>MGRC</t>
  </si>
  <si>
    <t>THFF</t>
  </si>
  <si>
    <t>CSL</t>
  </si>
  <si>
    <t>CBSH</t>
  </si>
  <si>
    <t>ORCL</t>
  </si>
  <si>
    <t>GWW</t>
  </si>
  <si>
    <t>TGT</t>
  </si>
  <si>
    <t>WSM</t>
  </si>
  <si>
    <t>PNR</t>
  </si>
  <si>
    <t>DOV</t>
  </si>
  <si>
    <t>PSBQ</t>
  </si>
  <si>
    <t>EMR</t>
  </si>
  <si>
    <t>LECO</t>
  </si>
  <si>
    <t>CB</t>
  </si>
  <si>
    <t>ITW</t>
  </si>
  <si>
    <t>NKE</t>
  </si>
  <si>
    <t>MCO</t>
  </si>
  <si>
    <t>OZK</t>
  </si>
  <si>
    <t>V</t>
  </si>
  <si>
    <t>PG</t>
  </si>
  <si>
    <t>AOS</t>
  </si>
  <si>
    <t>FELE</t>
  </si>
  <si>
    <t>SRCE</t>
  </si>
  <si>
    <t>JKHY</t>
  </si>
  <si>
    <t>SPGI</t>
  </si>
  <si>
    <t>BRO</t>
  </si>
  <si>
    <t>MDT</t>
  </si>
  <si>
    <t>UBSI</t>
  </si>
  <si>
    <t>GRC</t>
  </si>
  <si>
    <t>CSVI</t>
  </si>
  <si>
    <t>SHW</t>
  </si>
  <si>
    <t>MCD</t>
  </si>
  <si>
    <t>UNF</t>
  </si>
  <si>
    <t>COST</t>
  </si>
  <si>
    <t>AAPL</t>
  </si>
  <si>
    <t>ABT</t>
  </si>
  <si>
    <t>TROW</t>
  </si>
  <si>
    <t>MSFT</t>
  </si>
  <si>
    <t>LIN</t>
  </si>
  <si>
    <t>MSA</t>
  </si>
  <si>
    <t>ATR</t>
  </si>
  <si>
    <t>AMAT</t>
  </si>
  <si>
    <t>AXP</t>
  </si>
  <si>
    <t>CTAS</t>
  </si>
  <si>
    <t>MGEE</t>
  </si>
  <si>
    <t>TXT</t>
  </si>
  <si>
    <t>ECL</t>
  </si>
  <si>
    <t>BF.B</t>
  </si>
  <si>
    <t>NDSN</t>
  </si>
  <si>
    <t>MORN</t>
  </si>
  <si>
    <t>CWT</t>
  </si>
  <si>
    <t>AWR</t>
  </si>
  <si>
    <t>ZTS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</si>
  <si>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</si>
  <si>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</si>
  <si>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</si>
  <si>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</si>
  <si>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</si>
  <si>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</si>
  <si>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</si>
  <si>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</si>
  <si>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</si>
  <si>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</si>
  <si>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</si>
  <si>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</si>
  <si>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</si>
  <si>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VZ</t>
  </si>
  <si>
    <t>LAZ</t>
  </si>
  <si>
    <t>SR</t>
  </si>
  <si>
    <t>NJR</t>
  </si>
  <si>
    <t>CMCSA</t>
  </si>
  <si>
    <t>SLF</t>
  </si>
  <si>
    <t>FLIC</t>
  </si>
  <si>
    <t>TDS</t>
  </si>
  <si>
    <t>YUM</t>
  </si>
  <si>
    <t>SAP</t>
  </si>
  <si>
    <t>SRE</t>
  </si>
  <si>
    <t>EMN</t>
  </si>
  <si>
    <t>SWX</t>
  </si>
  <si>
    <t>EPD</t>
  </si>
  <si>
    <t>ENB</t>
  </si>
  <si>
    <t>MURGF</t>
  </si>
  <si>
    <t>NVS</t>
  </si>
  <si>
    <t>CHRW</t>
  </si>
  <si>
    <t>TD</t>
  </si>
  <si>
    <t>OGN</t>
  </si>
  <si>
    <t>BNS</t>
  </si>
  <si>
    <t>UNH</t>
  </si>
  <si>
    <t>BLK</t>
  </si>
  <si>
    <t>KDP</t>
  </si>
  <si>
    <t>GILD</t>
  </si>
  <si>
    <t>BR</t>
  </si>
  <si>
    <t>MRK</t>
  </si>
  <si>
    <t>WU</t>
  </si>
  <si>
    <t>LRLCF</t>
  </si>
  <si>
    <t>OMC</t>
  </si>
  <si>
    <t>HD</t>
  </si>
  <si>
    <t>BMO</t>
  </si>
  <si>
    <t>CDUAF</t>
  </si>
  <si>
    <t>BIP</t>
  </si>
  <si>
    <t>PB</t>
  </si>
  <si>
    <t>CMI</t>
  </si>
  <si>
    <t>MO</t>
  </si>
  <si>
    <t>EIX</t>
  </si>
  <si>
    <t>BAH</t>
  </si>
  <si>
    <t>RBA</t>
  </si>
  <si>
    <t>NTIOF</t>
  </si>
  <si>
    <t>PBCT</t>
  </si>
  <si>
    <t>MDLZ</t>
  </si>
  <si>
    <t>RY</t>
  </si>
  <si>
    <t>FTS</t>
  </si>
  <si>
    <t>RBGLY</t>
  </si>
  <si>
    <t>DDS</t>
  </si>
  <si>
    <t>INTC</t>
  </si>
  <si>
    <t>HII</t>
  </si>
  <si>
    <t>IMO</t>
  </si>
  <si>
    <t>SPTN</t>
  </si>
  <si>
    <t>CM</t>
  </si>
  <si>
    <t>TTC</t>
  </si>
  <si>
    <t>ORI</t>
  </si>
  <si>
    <t>IPG</t>
  </si>
  <si>
    <t>MTB</t>
  </si>
  <si>
    <t>ARTNA</t>
  </si>
  <si>
    <t>UVV</t>
  </si>
  <si>
    <t>CONE</t>
  </si>
  <si>
    <t>MET</t>
  </si>
  <si>
    <t>FOXA</t>
  </si>
  <si>
    <t>OTTR</t>
  </si>
  <si>
    <t>YORW</t>
  </si>
  <si>
    <t>SNA</t>
  </si>
  <si>
    <t>RDEIY</t>
  </si>
  <si>
    <t>KMB</t>
  </si>
  <si>
    <t>CVS</t>
  </si>
  <si>
    <t>ICE</t>
  </si>
  <si>
    <t>UPS</t>
  </si>
  <si>
    <t>RELX</t>
  </si>
  <si>
    <t>MSM</t>
  </si>
  <si>
    <t>DPZ</t>
  </si>
  <si>
    <t>HBI</t>
  </si>
  <si>
    <t>CSCO</t>
  </si>
  <si>
    <t>CIO</t>
  </si>
  <si>
    <t>SJM</t>
  </si>
  <si>
    <t>LNT</t>
  </si>
  <si>
    <t>KO</t>
  </si>
  <si>
    <t>NEP</t>
  </si>
  <si>
    <t>HNI</t>
  </si>
  <si>
    <t>AMX</t>
  </si>
  <si>
    <t>TXN</t>
  </si>
  <si>
    <t>IBM</t>
  </si>
  <si>
    <t>NC</t>
  </si>
  <si>
    <t>K</t>
  </si>
  <si>
    <t>EQIX</t>
  </si>
  <si>
    <t>RSG</t>
  </si>
  <si>
    <t>DTE</t>
  </si>
  <si>
    <t>NSC</t>
  </si>
  <si>
    <t>CLX</t>
  </si>
  <si>
    <t>WEYS</t>
  </si>
  <si>
    <t>ED</t>
  </si>
  <si>
    <t>CTSH</t>
  </si>
  <si>
    <t>UNP</t>
  </si>
  <si>
    <t>HRB</t>
  </si>
  <si>
    <t>ETR</t>
  </si>
  <si>
    <t>PRGO</t>
  </si>
  <si>
    <t>WABC</t>
  </si>
  <si>
    <t>AAP</t>
  </si>
  <si>
    <t>SBSI</t>
  </si>
  <si>
    <t>AWK</t>
  </si>
  <si>
    <t>CAT</t>
  </si>
  <si>
    <t>IFF</t>
  </si>
  <si>
    <t>GEF</t>
  </si>
  <si>
    <t>PEP</t>
  </si>
  <si>
    <t>MWA</t>
  </si>
  <si>
    <t>INGR</t>
  </si>
  <si>
    <t>XEL</t>
  </si>
  <si>
    <t>RHHBY</t>
  </si>
  <si>
    <t>SBAC</t>
  </si>
  <si>
    <t>DE</t>
  </si>
  <si>
    <t>RTX</t>
  </si>
  <si>
    <t>TR</t>
  </si>
  <si>
    <t>SIEGY</t>
  </si>
  <si>
    <t>HSY</t>
  </si>
  <si>
    <t>AJG</t>
  </si>
  <si>
    <t>AMT</t>
  </si>
  <si>
    <t>SBUX</t>
  </si>
  <si>
    <t>NVO</t>
  </si>
  <si>
    <t>HON</t>
  </si>
  <si>
    <t>CNI</t>
  </si>
  <si>
    <t>ERIE</t>
  </si>
  <si>
    <t>SJW</t>
  </si>
  <si>
    <t>CARR</t>
  </si>
  <si>
    <t>WTRG</t>
  </si>
  <si>
    <t>FRT</t>
  </si>
  <si>
    <t>APD</t>
  </si>
  <si>
    <t>CFR</t>
  </si>
  <si>
    <t>RMD</t>
  </si>
  <si>
    <t>NEE</t>
  </si>
  <si>
    <t>ESS</t>
  </si>
  <si>
    <t>TT</t>
  </si>
  <si>
    <t>UMBF</t>
  </si>
  <si>
    <t>OTIS</t>
  </si>
  <si>
    <t>ROK</t>
  </si>
  <si>
    <t>WM</t>
  </si>
  <si>
    <t>CBU</t>
  </si>
  <si>
    <t>TSCO</t>
  </si>
  <si>
    <t>EBAY</t>
  </si>
  <si>
    <t>LLY</t>
  </si>
  <si>
    <t>XYL</t>
  </si>
  <si>
    <t>HMLP</t>
  </si>
  <si>
    <t>VALE</t>
  </si>
  <si>
    <t>MFGP</t>
  </si>
  <si>
    <t>FL</t>
  </si>
  <si>
    <t>TRTN</t>
  </si>
  <si>
    <t>MDC</t>
  </si>
  <si>
    <t>SMG</t>
  </si>
  <si>
    <t>COLD</t>
  </si>
  <si>
    <t>JACK</t>
  </si>
  <si>
    <t>TX</t>
  </si>
  <si>
    <t>SJI</t>
  </si>
  <si>
    <t>MMP</t>
  </si>
  <si>
    <t>PHM</t>
  </si>
  <si>
    <t>HPE</t>
  </si>
  <si>
    <t>LAD</t>
  </si>
  <si>
    <t>DKS</t>
  </si>
  <si>
    <t>ALL</t>
  </si>
  <si>
    <t>ALLY</t>
  </si>
  <si>
    <t>OGS</t>
  </si>
  <si>
    <t>DHI</t>
  </si>
  <si>
    <t>BTI</t>
  </si>
  <si>
    <t>FNF</t>
  </si>
  <si>
    <t>HPQ</t>
  </si>
  <si>
    <t>SUN</t>
  </si>
  <si>
    <t>DDAIF</t>
  </si>
  <si>
    <t>TTE</t>
  </si>
  <si>
    <t>OGE</t>
  </si>
  <si>
    <t>LNC</t>
  </si>
  <si>
    <t>LYB</t>
  </si>
  <si>
    <t>LRCX</t>
  </si>
  <si>
    <t>TYCB</t>
  </si>
  <si>
    <t>PNW</t>
  </si>
  <si>
    <t>FAF</t>
  </si>
  <si>
    <t>IPPLF</t>
  </si>
  <si>
    <t>AEG</t>
  </si>
  <si>
    <t>MPLX</t>
  </si>
  <si>
    <t>PFG</t>
  </si>
  <si>
    <t>THO</t>
  </si>
  <si>
    <t>NHI</t>
  </si>
  <si>
    <t>SAXPY</t>
  </si>
  <si>
    <t>POR</t>
  </si>
  <si>
    <t>ALE</t>
  </si>
  <si>
    <t>MKTX</t>
  </si>
  <si>
    <t>C</t>
  </si>
  <si>
    <t>CE</t>
  </si>
  <si>
    <t>GWLIF</t>
  </si>
  <si>
    <t>EVRG</t>
  </si>
  <si>
    <t>FLO</t>
  </si>
  <si>
    <t>UL</t>
  </si>
  <si>
    <t>GPS</t>
  </si>
  <si>
    <t>OKE</t>
  </si>
  <si>
    <t>IVZ</t>
  </si>
  <si>
    <t>FCX</t>
  </si>
  <si>
    <t>BASFY</t>
  </si>
  <si>
    <t>JBL</t>
  </si>
  <si>
    <t>RCI</t>
  </si>
  <si>
    <t>TM</t>
  </si>
  <si>
    <t>GNTX</t>
  </si>
  <si>
    <t>PRU</t>
  </si>
  <si>
    <t>KSS</t>
  </si>
  <si>
    <t>CCI</t>
  </si>
  <si>
    <t>RGA</t>
  </si>
  <si>
    <t>BMWYY</t>
  </si>
  <si>
    <t>GIS</t>
  </si>
  <si>
    <t>UHT</t>
  </si>
  <si>
    <t>AEP</t>
  </si>
  <si>
    <t>BK</t>
  </si>
  <si>
    <t>SYF</t>
  </si>
  <si>
    <t>DFS</t>
  </si>
  <si>
    <t>CPB</t>
  </si>
  <si>
    <t>XOM</t>
  </si>
  <si>
    <t>CFG</t>
  </si>
  <si>
    <t>O</t>
  </si>
  <si>
    <t>MGA</t>
  </si>
  <si>
    <t>SVC</t>
  </si>
  <si>
    <t>CVX</t>
  </si>
  <si>
    <t>KEY</t>
  </si>
  <si>
    <t>PDCO</t>
  </si>
  <si>
    <t>AGM</t>
  </si>
  <si>
    <t>KLAC</t>
  </si>
  <si>
    <t>NAVI</t>
  </si>
  <si>
    <t>NLSN</t>
  </si>
  <si>
    <t>MCHP</t>
  </si>
  <si>
    <t>SO</t>
  </si>
  <si>
    <t>PNC</t>
  </si>
  <si>
    <t>PKX</t>
  </si>
  <si>
    <t>AON</t>
  </si>
  <si>
    <t>CUBE</t>
  </si>
  <si>
    <t>PM</t>
  </si>
  <si>
    <t>PSB</t>
  </si>
  <si>
    <t>BUD</t>
  </si>
  <si>
    <t>JPM</t>
  </si>
  <si>
    <t>R</t>
  </si>
  <si>
    <t>WY</t>
  </si>
  <si>
    <t>WEC</t>
  </si>
  <si>
    <t>WPC</t>
  </si>
  <si>
    <t>MA</t>
  </si>
  <si>
    <t>GOLD</t>
  </si>
  <si>
    <t>M</t>
  </si>
  <si>
    <t>ESRT</t>
  </si>
  <si>
    <t>OSK</t>
  </si>
  <si>
    <t>HAL</t>
  </si>
  <si>
    <t>VIAC</t>
  </si>
  <si>
    <t>PEG</t>
  </si>
  <si>
    <t>DUK</t>
  </si>
  <si>
    <t>NNN</t>
  </si>
  <si>
    <t>GLOP</t>
  </si>
  <si>
    <t>STZ</t>
  </si>
  <si>
    <t>BAC</t>
  </si>
  <si>
    <t>MMC</t>
  </si>
  <si>
    <t>PAYX</t>
  </si>
  <si>
    <t>HOG</t>
  </si>
  <si>
    <t>MRVL</t>
  </si>
  <si>
    <t>ASML</t>
  </si>
  <si>
    <t>WFC</t>
  </si>
  <si>
    <t>PSA</t>
  </si>
  <si>
    <t>EAF</t>
  </si>
  <si>
    <t>ITUB</t>
  </si>
  <si>
    <t>DLR</t>
  </si>
  <si>
    <t>PACW</t>
  </si>
  <si>
    <t>APLE</t>
  </si>
  <si>
    <t>DEO</t>
  </si>
  <si>
    <t>NSRGY</t>
  </si>
  <si>
    <t>FAST</t>
  </si>
  <si>
    <t>KSU</t>
  </si>
  <si>
    <t>ABB</t>
  </si>
  <si>
    <t>RACE</t>
  </si>
  <si>
    <t>TER</t>
  </si>
  <si>
    <t>GS</t>
  </si>
  <si>
    <t>KKR</t>
  </si>
  <si>
    <t>AVB</t>
  </si>
  <si>
    <t>AUY</t>
  </si>
  <si>
    <t>APA</t>
  </si>
  <si>
    <t>NVDA</t>
  </si>
  <si>
    <t>TRGP</t>
  </si>
  <si>
    <t>STLD</t>
  </si>
  <si>
    <t>MT</t>
  </si>
  <si>
    <t>KLIC</t>
  </si>
  <si>
    <t>INFY</t>
  </si>
  <si>
    <t>GE</t>
  </si>
  <si>
    <t>LOGI</t>
  </si>
  <si>
    <t>TRI</t>
  </si>
  <si>
    <t>SONY</t>
  </si>
  <si>
    <t>OLN</t>
  </si>
  <si>
    <t>DHC</t>
  </si>
  <si>
    <t>ERF</t>
  </si>
  <si>
    <t>SHLX</t>
  </si>
  <si>
    <t>PBR</t>
  </si>
  <si>
    <t>GORO</t>
  </si>
  <si>
    <t>PGR</t>
  </si>
  <si>
    <t>SPH</t>
  </si>
  <si>
    <t>TPR</t>
  </si>
  <si>
    <t>PAA</t>
  </si>
  <si>
    <t>HSBC</t>
  </si>
  <si>
    <t>UNIT</t>
  </si>
  <si>
    <t>HEP</t>
  </si>
  <si>
    <t>TGP</t>
  </si>
  <si>
    <t>BHP</t>
  </si>
  <si>
    <t>WSBC</t>
  </si>
  <si>
    <t>ALV</t>
  </si>
  <si>
    <t>SLG</t>
  </si>
  <si>
    <t>PFE</t>
  </si>
  <si>
    <t>ERIC</t>
  </si>
  <si>
    <t>BP</t>
  </si>
  <si>
    <t>BAYRY</t>
  </si>
  <si>
    <t>SNY</t>
  </si>
  <si>
    <t>SU</t>
  </si>
  <si>
    <t>GEL</t>
  </si>
  <si>
    <t>MFC</t>
  </si>
  <si>
    <t>WASH</t>
  </si>
  <si>
    <t>ET</t>
  </si>
  <si>
    <t>TAP</t>
  </si>
  <si>
    <t>AZN</t>
  </si>
  <si>
    <t>DD</t>
  </si>
  <si>
    <t>AVAL</t>
  </si>
  <si>
    <t>TFC</t>
  </si>
  <si>
    <t>TRST</t>
  </si>
  <si>
    <t>NYCB</t>
  </si>
  <si>
    <t>OPI</t>
  </si>
  <si>
    <t>RDS.B</t>
  </si>
  <si>
    <t>RF</t>
  </si>
  <si>
    <t>PTR</t>
  </si>
  <si>
    <t>MS</t>
  </si>
  <si>
    <t>D</t>
  </si>
  <si>
    <t>HAS</t>
  </si>
  <si>
    <t>IMBBY</t>
  </si>
  <si>
    <t>NEM</t>
  </si>
  <si>
    <t>PETS</t>
  </si>
  <si>
    <t>CC</t>
  </si>
  <si>
    <t>PGRE</t>
  </si>
  <si>
    <t>DOW</t>
  </si>
  <si>
    <t>SPG</t>
  </si>
  <si>
    <t>WMB</t>
  </si>
  <si>
    <t>NTR</t>
  </si>
  <si>
    <t>PHG</t>
  </si>
  <si>
    <t>SAFE</t>
  </si>
  <si>
    <t>NRZ</t>
  </si>
  <si>
    <t>CNA</t>
  </si>
  <si>
    <t>FRFHF</t>
  </si>
  <si>
    <t>NGG</t>
  </si>
  <si>
    <t>XRX</t>
  </si>
  <si>
    <t>AMCR</t>
  </si>
  <si>
    <t>PCAR</t>
  </si>
  <si>
    <t>KMI</t>
  </si>
  <si>
    <t>CAG</t>
  </si>
  <si>
    <t>CNP</t>
  </si>
  <si>
    <t>FE</t>
  </si>
  <si>
    <t>TS</t>
  </si>
  <si>
    <t>HASI</t>
  </si>
  <si>
    <t>HIW</t>
  </si>
  <si>
    <t>MPW</t>
  </si>
  <si>
    <t>RIO</t>
  </si>
  <si>
    <t>PDM</t>
  </si>
  <si>
    <t>EQNR</t>
  </si>
  <si>
    <t>STN</t>
  </si>
  <si>
    <t>ROST</t>
  </si>
  <si>
    <t>NWL</t>
  </si>
  <si>
    <t>INVH</t>
  </si>
  <si>
    <t>BBD</t>
  </si>
  <si>
    <t>JNPR</t>
  </si>
  <si>
    <t>HUN</t>
  </si>
  <si>
    <t>SBS</t>
  </si>
  <si>
    <t>WPP</t>
  </si>
  <si>
    <t>AVGO</t>
  </si>
  <si>
    <t>DEA</t>
  </si>
  <si>
    <t>LMRK</t>
  </si>
  <si>
    <t>MCY</t>
  </si>
  <si>
    <t>REG</t>
  </si>
  <si>
    <t>WSR</t>
  </si>
  <si>
    <t>NSP</t>
  </si>
  <si>
    <t>HMC</t>
  </si>
  <si>
    <t>KHC</t>
  </si>
  <si>
    <t>HBAN</t>
  </si>
  <si>
    <t>CORR</t>
  </si>
  <si>
    <t>AGNC</t>
  </si>
  <si>
    <t>EGP</t>
  </si>
  <si>
    <t>BXP</t>
  </si>
  <si>
    <t>UE</t>
  </si>
  <si>
    <t>AES</t>
  </si>
  <si>
    <t>ING</t>
  </si>
  <si>
    <t>PLD</t>
  </si>
  <si>
    <t>GLW</t>
  </si>
  <si>
    <t>STX</t>
  </si>
  <si>
    <t>SMFG</t>
  </si>
  <si>
    <t>VER</t>
  </si>
  <si>
    <t>NTAP</t>
  </si>
  <si>
    <t>APO</t>
  </si>
  <si>
    <t>UBS</t>
  </si>
  <si>
    <t>PLYM</t>
  </si>
  <si>
    <t>CAJ</t>
  </si>
  <si>
    <t>TU</t>
  </si>
  <si>
    <t>KRG</t>
  </si>
  <si>
    <t>IP</t>
  </si>
  <si>
    <t>TJX</t>
  </si>
  <si>
    <t>EOG</t>
  </si>
  <si>
    <t>TSM</t>
  </si>
  <si>
    <t>SUUIF</t>
  </si>
  <si>
    <t>DOC</t>
  </si>
  <si>
    <t>KTB</t>
  </si>
  <si>
    <t>CMA</t>
  </si>
  <si>
    <t>MAC</t>
  </si>
  <si>
    <t>USB</t>
  </si>
  <si>
    <t>MPWR</t>
  </si>
  <si>
    <t>SKT</t>
  </si>
  <si>
    <t>WRK</t>
  </si>
  <si>
    <t>CNQ</t>
  </si>
  <si>
    <t>BRX</t>
  </si>
  <si>
    <t>LXP</t>
  </si>
  <si>
    <t>ARE</t>
  </si>
  <si>
    <t>CF</t>
  </si>
  <si>
    <t>COR</t>
  </si>
  <si>
    <t>SLB</t>
  </si>
  <si>
    <t>GRMN</t>
  </si>
  <si>
    <t>ARLP</t>
  </si>
  <si>
    <t>TRSWF</t>
  </si>
  <si>
    <t>EXC</t>
  </si>
  <si>
    <t>EXPO</t>
  </si>
  <si>
    <t>CME</t>
  </si>
  <si>
    <t>PSO</t>
  </si>
  <si>
    <t>COP</t>
  </si>
  <si>
    <t>CWEN</t>
  </si>
  <si>
    <t>WPM</t>
  </si>
  <si>
    <t>OGZPY</t>
  </si>
  <si>
    <t>JCI</t>
  </si>
  <si>
    <t>CPT</t>
  </si>
  <si>
    <t>ETN</t>
  </si>
  <si>
    <t>KIM</t>
  </si>
  <si>
    <t>MAA</t>
  </si>
  <si>
    <t>SCHL</t>
  </si>
  <si>
    <t>LAMR</t>
  </si>
  <si>
    <t>PPL</t>
  </si>
  <si>
    <t>ACN</t>
  </si>
  <si>
    <t>VGR</t>
  </si>
  <si>
    <t>IIPR</t>
  </si>
  <si>
    <t>SCCO</t>
  </si>
  <si>
    <t>CLPR</t>
  </si>
  <si>
    <t>SNP</t>
  </si>
  <si>
    <t>ORAN</t>
  </si>
  <si>
    <t>PSXP</t>
  </si>
  <si>
    <t>IEP</t>
  </si>
  <si>
    <t>TEF</t>
  </si>
  <si>
    <t>APAM</t>
  </si>
  <si>
    <t>PSX</t>
  </si>
  <si>
    <t>GECC</t>
  </si>
  <si>
    <t>OHI</t>
  </si>
  <si>
    <t>DHT</t>
  </si>
  <si>
    <t>PINE</t>
  </si>
  <si>
    <t>LTC</t>
  </si>
  <si>
    <t>NEWT</t>
  </si>
  <si>
    <t>MRCC</t>
  </si>
  <si>
    <t>CQP</t>
  </si>
  <si>
    <t>PMT</t>
  </si>
  <si>
    <t>CTO</t>
  </si>
  <si>
    <t>EVA</t>
  </si>
  <si>
    <t>VICI</t>
  </si>
  <si>
    <t>WSO</t>
  </si>
  <si>
    <t>USAC</t>
  </si>
  <si>
    <t>LUMN</t>
  </si>
  <si>
    <t>SSREY</t>
  </si>
  <si>
    <t>CTRE</t>
  </si>
  <si>
    <t>TRP</t>
  </si>
  <si>
    <t>WEN</t>
  </si>
  <si>
    <t>FCPT</t>
  </si>
  <si>
    <t>MGP</t>
  </si>
  <si>
    <t>AFIN</t>
  </si>
  <si>
    <t>TWO</t>
  </si>
  <si>
    <t>GSK</t>
  </si>
  <si>
    <t>HR</t>
  </si>
  <si>
    <t>QSR</t>
  </si>
  <si>
    <t>SACH</t>
  </si>
  <si>
    <t>SBRA</t>
  </si>
  <si>
    <t>VST</t>
  </si>
  <si>
    <t>UMH</t>
  </si>
  <si>
    <t>EFC</t>
  </si>
  <si>
    <t>ORC</t>
  </si>
  <si>
    <t>SFL</t>
  </si>
  <si>
    <t>VIA</t>
  </si>
  <si>
    <t>GSBD</t>
  </si>
  <si>
    <t>CWCO</t>
  </si>
  <si>
    <t>GMRE</t>
  </si>
  <si>
    <t>SRC</t>
  </si>
  <si>
    <t>ORCC</t>
  </si>
  <si>
    <t>KNOP</t>
  </si>
  <si>
    <t>KREF</t>
  </si>
  <si>
    <t>EIFZF</t>
  </si>
  <si>
    <t>NYMT</t>
  </si>
  <si>
    <t>EXR</t>
  </si>
  <si>
    <t>AQN</t>
  </si>
  <si>
    <t>VLO</t>
  </si>
  <si>
    <t>VOD</t>
  </si>
  <si>
    <t>GNL</t>
  </si>
  <si>
    <t>EPR</t>
  </si>
  <si>
    <t>NSA</t>
  </si>
  <si>
    <t>NTST</t>
  </si>
  <si>
    <t>BRMK</t>
  </si>
  <si>
    <t>CSWC</t>
  </si>
  <si>
    <t>NLY</t>
  </si>
  <si>
    <t>CHCT</t>
  </si>
  <si>
    <t>ACRE</t>
  </si>
  <si>
    <t>HTA</t>
  </si>
  <si>
    <t>ILPT</t>
  </si>
  <si>
    <t>PFLT</t>
  </si>
  <si>
    <t>TSLX</t>
  </si>
  <si>
    <t>ADC</t>
  </si>
  <si>
    <t>APTS</t>
  </si>
  <si>
    <t>GBDC</t>
  </si>
  <si>
    <t>EPRT</t>
  </si>
  <si>
    <t>TPVG</t>
  </si>
  <si>
    <t>DRI</t>
  </si>
  <si>
    <t>EIC</t>
  </si>
  <si>
    <t>LWSCF</t>
  </si>
  <si>
    <t>STWD</t>
  </si>
  <si>
    <t>FDUS</t>
  </si>
  <si>
    <t>IRT</t>
  </si>
  <si>
    <t>HRZN</t>
  </si>
  <si>
    <t>BGS</t>
  </si>
  <si>
    <t>VNO</t>
  </si>
  <si>
    <t>ARCC</t>
  </si>
  <si>
    <t>NMFC</t>
  </si>
  <si>
    <t>E</t>
  </si>
  <si>
    <t>OXSQ</t>
  </si>
  <si>
    <t>ABEV</t>
  </si>
  <si>
    <t>GOOD</t>
  </si>
  <si>
    <t>CBRL</t>
  </si>
  <si>
    <t>BEP</t>
  </si>
  <si>
    <t>STOR</t>
  </si>
  <si>
    <t>AM</t>
  </si>
  <si>
    <t>GLPI</t>
  </si>
  <si>
    <t>ARR</t>
  </si>
  <si>
    <t>IDEXY</t>
  </si>
  <si>
    <t>DTEGY</t>
  </si>
  <si>
    <t>VTR</t>
  </si>
  <si>
    <t>MAIN</t>
  </si>
  <si>
    <t>PBA</t>
  </si>
  <si>
    <t>SCM</t>
  </si>
  <si>
    <t>HTGC</t>
  </si>
  <si>
    <t>CIM</t>
  </si>
  <si>
    <t>PSEC</t>
  </si>
  <si>
    <t>ACC</t>
  </si>
  <si>
    <t>BXMT</t>
  </si>
  <si>
    <t>IRM</t>
  </si>
  <si>
    <t>LADR</t>
  </si>
  <si>
    <t>BCE</t>
  </si>
  <si>
    <t>SBR</t>
  </si>
  <si>
    <t>OLP</t>
  </si>
  <si>
    <t>SUNS</t>
  </si>
  <si>
    <t>EQR</t>
  </si>
  <si>
    <t>PRT</t>
  </si>
  <si>
    <t>STAG</t>
  </si>
  <si>
    <t>DANOY</t>
  </si>
  <si>
    <t>BKR</t>
  </si>
  <si>
    <t>UDR</t>
  </si>
  <si>
    <t>GAIN</t>
  </si>
  <si>
    <t>SJR</t>
  </si>
  <si>
    <t>MNR</t>
  </si>
  <si>
    <t>PBT</t>
  </si>
  <si>
    <t>PEAK</t>
  </si>
  <si>
    <t>DRETF</t>
  </si>
  <si>
    <t>CMP</t>
  </si>
  <si>
    <t>UBA</t>
  </si>
  <si>
    <t>GLAD</t>
  </si>
  <si>
    <t>ABR</t>
  </si>
  <si>
    <t>CRT</t>
  </si>
  <si>
    <t>CODI</t>
  </si>
  <si>
    <t>MPC</t>
  </si>
  <si>
    <t>LAND</t>
  </si>
  <si>
    <t>PPRQF</t>
  </si>
  <si>
    <t>GWRS</t>
  </si>
  <si>
    <t>DREUF</t>
  </si>
  <si>
    <t>HP</t>
  </si>
  <si>
    <t>WELL</t>
  </si>
  <si>
    <t>ARI</t>
  </si>
  <si>
    <t>OXY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</si>
  <si>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</si>
  <si>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</si>
  <si>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</si>
  <si>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</si>
  <si>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</si>
  <si>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</si>
  <si>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</si>
  <si>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</si>
  <si>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</si>
  <si>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CAE</t>
  </si>
  <si>
    <t>NGL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</si>
  <si>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</si>
  <si>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</si>
  <si>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</si>
  <si>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</si>
  <si>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</si>
  <si>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</si>
  <si>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</si>
  <si>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</si>
  <si>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</si>
  <si>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</si>
  <si>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</si>
  <si>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</si>
  <si>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</si>
  <si>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</si>
  <si>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</si>
  <si>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Defensive</t>
  </si>
  <si>
    <t>Consumer Cyclical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</si>
  <si>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</si>
  <si>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</si>
  <si>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</si>
  <si>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</si>
  <si>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</si>
  <si>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</si>
  <si>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</si>
  <si>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</si>
  <si>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</si>
  <si>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Josh Arnold</t>
  </si>
  <si>
    <t>Felix Martinez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</si>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</sst>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59.8</v>
      </c>
      <c r="D2">
        <v>75</v>
      </c>
      <c r="E2">
        <v>0.7973333333333333</v>
      </c>
      <c r="F2">
        <v>0.004515050167224081</v>
      </c>
      <c r="G2">
        <v>0.04633804322952817</v>
      </c>
      <c r="H2">
        <v>0.18</v>
      </c>
      <c r="I2">
        <v>0.2381574498407311</v>
      </c>
      <c r="J2" t="s">
        <v>761</v>
      </c>
      <c r="K2" t="s">
        <v>358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-0.087022900763358</v>
      </c>
      <c r="R2" t="s">
        <v>765</v>
      </c>
      <c r="S2" t="s">
        <v>769</v>
      </c>
      <c r="T2">
        <v>574089.903358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60.92</v>
      </c>
      <c r="D3">
        <v>101</v>
      </c>
      <c r="E3">
        <v>0.6031683168316831</v>
      </c>
      <c r="F3">
        <v>0.03217334208798424</v>
      </c>
      <c r="G3">
        <v>0.1064003279308661</v>
      </c>
      <c r="H3">
        <v>0.03</v>
      </c>
      <c r="I3">
        <v>0.1609076265201759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0.05970381426955901</v>
      </c>
      <c r="R3" t="s">
        <v>765</v>
      </c>
      <c r="S3" t="s">
        <v>770</v>
      </c>
      <c r="T3">
        <v>134726.744718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101.04</v>
      </c>
      <c r="D4">
        <v>146</v>
      </c>
      <c r="E4">
        <v>0.692054794520548</v>
      </c>
      <c r="F4">
        <v>0.01187648456057007</v>
      </c>
      <c r="G4">
        <v>0.07639557478080583</v>
      </c>
      <c r="H4">
        <v>0.055</v>
      </c>
      <c r="I4">
        <v>0.1447767135853619</v>
      </c>
      <c r="J4" t="s">
        <v>761</v>
      </c>
      <c r="K4" t="s">
        <v>358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-0.123346193247455</v>
      </c>
      <c r="R4" t="s">
        <v>765</v>
      </c>
      <c r="S4" t="s">
        <v>771</v>
      </c>
      <c r="T4">
        <v>6596.795112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HYPERLINK("https://www.suredividend.com/sure-analysis-FDX/","Fedex Corp")</f>
        <v>0</v>
      </c>
      <c r="C5">
        <v>227.82</v>
      </c>
      <c r="D5">
        <v>305</v>
      </c>
      <c r="E5">
        <v>0.7469508196721312</v>
      </c>
      <c r="F5">
        <v>0.01316829075585989</v>
      </c>
      <c r="G5">
        <v>0.06008721880140966</v>
      </c>
      <c r="H5">
        <v>0.06</v>
      </c>
      <c r="I5">
        <v>0.1333868679927734</v>
      </c>
      <c r="J5" t="s">
        <v>761</v>
      </c>
      <c r="K5" t="s">
        <v>358</v>
      </c>
      <c r="L5">
        <v>21</v>
      </c>
      <c r="M5">
        <v>3</v>
      </c>
      <c r="N5">
        <v>0.1428571428571428</v>
      </c>
      <c r="O5">
        <v>1</v>
      </c>
      <c r="P5">
        <v>0.05975292415044642</v>
      </c>
      <c r="Q5">
        <v>-0.042118820448746</v>
      </c>
      <c r="R5" t="s">
        <v>765</v>
      </c>
      <c r="S5" t="s">
        <v>772</v>
      </c>
      <c r="T5">
        <v>60812.61082</v>
      </c>
      <c r="U5" s="2">
        <v>44372</v>
      </c>
      <c r="V5" t="s">
        <v>780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45.1</v>
      </c>
      <c r="D6">
        <v>61</v>
      </c>
      <c r="E6">
        <v>0.739344262295082</v>
      </c>
      <c r="F6">
        <v>0.01685144124168514</v>
      </c>
      <c r="G6">
        <v>0.06225958527752762</v>
      </c>
      <c r="H6">
        <v>0.05</v>
      </c>
      <c r="I6">
        <v>0.1270260818974465</v>
      </c>
      <c r="J6" t="s">
        <v>761</v>
      </c>
      <c r="K6" t="s">
        <v>762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0.263902647694524</v>
      </c>
      <c r="R6" t="s">
        <v>765</v>
      </c>
      <c r="S6" t="s">
        <v>772</v>
      </c>
      <c r="T6">
        <v>3019.799418</v>
      </c>
      <c r="U6" s="2">
        <v>44453</v>
      </c>
      <c r="V6" t="s">
        <v>783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39.13</v>
      </c>
      <c r="D7">
        <v>43</v>
      </c>
      <c r="E7">
        <v>0.91</v>
      </c>
      <c r="F7">
        <v>0.01431127012522361</v>
      </c>
      <c r="G7">
        <v>0.01904114973592153</v>
      </c>
      <c r="H7">
        <v>0.09</v>
      </c>
      <c r="I7">
        <v>0.1230886381144369</v>
      </c>
      <c r="J7" t="s">
        <v>761</v>
      </c>
      <c r="K7" t="s">
        <v>358</v>
      </c>
      <c r="L7">
        <v>3.07</v>
      </c>
      <c r="M7">
        <v>0.5600000000000001</v>
      </c>
      <c r="N7">
        <v>0.1824104234527688</v>
      </c>
      <c r="O7">
        <v>17</v>
      </c>
      <c r="P7">
        <v>0.09953965407958165</v>
      </c>
      <c r="Q7">
        <v>0.12143552888282</v>
      </c>
      <c r="R7" t="s">
        <v>765</v>
      </c>
      <c r="S7" t="s">
        <v>771</v>
      </c>
      <c r="T7">
        <v>4334.622516</v>
      </c>
      <c r="U7" s="2">
        <v>44405</v>
      </c>
      <c r="V7" t="s">
        <v>780</v>
      </c>
    </row>
    <row r="8" spans="1:22">
      <c r="A8" s="1" t="s">
        <v>28</v>
      </c>
      <c r="B8">
        <f>HYPERLINK("https://www.suredividend.com/sure-analysis-UNM/","Unum Group")</f>
        <v>0</v>
      </c>
      <c r="C8">
        <v>24.61</v>
      </c>
      <c r="D8">
        <v>34</v>
      </c>
      <c r="E8">
        <v>0.7238235294117646</v>
      </c>
      <c r="F8">
        <v>0.04876066639577407</v>
      </c>
      <c r="G8">
        <v>0.06677655062493182</v>
      </c>
      <c r="H8">
        <v>0.02</v>
      </c>
      <c r="I8">
        <v>0.1226879252395696</v>
      </c>
      <c r="J8" t="s">
        <v>761</v>
      </c>
      <c r="K8" t="s">
        <v>761</v>
      </c>
      <c r="L8">
        <v>4.8</v>
      </c>
      <c r="M8">
        <v>1.2</v>
      </c>
      <c r="N8">
        <v>0.25</v>
      </c>
      <c r="O8">
        <v>13</v>
      </c>
      <c r="P8">
        <v>0.01924487649145656</v>
      </c>
      <c r="Q8">
        <v>0.55457118723846</v>
      </c>
      <c r="R8" t="s">
        <v>765</v>
      </c>
      <c r="S8" t="s">
        <v>773</v>
      </c>
      <c r="T8">
        <v>4927.93066</v>
      </c>
      <c r="U8" s="2">
        <v>44415</v>
      </c>
      <c r="V8" t="s">
        <v>784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59.79</v>
      </c>
      <c r="D9">
        <v>64</v>
      </c>
      <c r="E9">
        <v>0.93421875</v>
      </c>
      <c r="F9">
        <v>0.01471818029770865</v>
      </c>
      <c r="G9">
        <v>0.0137019551120543</v>
      </c>
      <c r="H9">
        <v>0.09</v>
      </c>
      <c r="I9">
        <v>0.1171560155214248</v>
      </c>
      <c r="J9" t="s">
        <v>761</v>
      </c>
      <c r="K9" t="s">
        <v>762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0.3144733697432121</v>
      </c>
      <c r="R9" t="s">
        <v>765</v>
      </c>
      <c r="S9" t="s">
        <v>772</v>
      </c>
      <c r="T9">
        <v>7459.73213</v>
      </c>
      <c r="U9" s="2">
        <v>44444</v>
      </c>
      <c r="V9" t="s">
        <v>785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60.3</v>
      </c>
      <c r="D10">
        <v>72</v>
      </c>
      <c r="E10">
        <v>0.8374999999999999</v>
      </c>
      <c r="F10">
        <v>0.02454394693200664</v>
      </c>
      <c r="G10">
        <v>0.03610325209611243</v>
      </c>
      <c r="H10">
        <v>0.06</v>
      </c>
      <c r="I10">
        <v>0.1161555659242404</v>
      </c>
      <c r="J10" t="s">
        <v>761</v>
      </c>
      <c r="K10" t="s">
        <v>761</v>
      </c>
      <c r="L10">
        <v>4.77</v>
      </c>
      <c r="M10">
        <v>1.48</v>
      </c>
      <c r="N10">
        <v>0.3102725366876311</v>
      </c>
      <c r="O10">
        <v>46</v>
      </c>
      <c r="P10">
        <v>0.03051269507716325</v>
      </c>
      <c r="Q10">
        <v>0.369386888143263</v>
      </c>
      <c r="R10" t="s">
        <v>765</v>
      </c>
      <c r="S10" t="s">
        <v>774</v>
      </c>
      <c r="T10">
        <v>33678.563191</v>
      </c>
      <c r="U10" s="2">
        <v>44426</v>
      </c>
      <c r="V10" t="s">
        <v>786</v>
      </c>
    </row>
    <row r="11" spans="1:22">
      <c r="A11" s="1" t="s">
        <v>31</v>
      </c>
      <c r="B11">
        <f>HYPERLINK("https://www.suredividend.com/sure-analysis-PII/","Polaris Inc")</f>
        <v>0</v>
      </c>
      <c r="C11">
        <v>120.81</v>
      </c>
      <c r="D11">
        <v>152</v>
      </c>
      <c r="E11">
        <v>0.7948026315789474</v>
      </c>
      <c r="F11">
        <v>0.0208592003973181</v>
      </c>
      <c r="G11">
        <v>0.04700351748047393</v>
      </c>
      <c r="H11">
        <v>0.05</v>
      </c>
      <c r="I11">
        <v>0.1161435360677516</v>
      </c>
      <c r="J11" t="s">
        <v>761</v>
      </c>
      <c r="K11" t="s">
        <v>762</v>
      </c>
      <c r="L11">
        <v>9.48</v>
      </c>
      <c r="M11">
        <v>2.52</v>
      </c>
      <c r="N11">
        <v>0.2658227848101266</v>
      </c>
      <c r="O11">
        <v>26</v>
      </c>
      <c r="P11">
        <v>0.06483841633998533</v>
      </c>
      <c r="Q11">
        <v>0.386178061354327</v>
      </c>
      <c r="R11" t="s">
        <v>765</v>
      </c>
      <c r="S11" t="s">
        <v>775</v>
      </c>
      <c r="T11">
        <v>7293.823478</v>
      </c>
      <c r="U11" s="2">
        <v>44404</v>
      </c>
      <c r="V11" t="s">
        <v>784</v>
      </c>
    </row>
    <row r="12" spans="1:22">
      <c r="A12" s="1" t="s">
        <v>32</v>
      </c>
      <c r="B12">
        <f>HYPERLINK("https://www.suredividend.com/sure-analysis-EBTC/","Enterprise Bancorp, Inc.")</f>
        <v>0</v>
      </c>
      <c r="C12">
        <v>33.155</v>
      </c>
      <c r="D12">
        <v>41</v>
      </c>
      <c r="E12">
        <v>0.8086585365853659</v>
      </c>
      <c r="F12">
        <v>0.02231940883727944</v>
      </c>
      <c r="G12">
        <v>0.04339070832495384</v>
      </c>
      <c r="H12">
        <v>0.05</v>
      </c>
      <c r="I12">
        <v>0.1135855264202592</v>
      </c>
      <c r="J12" t="s">
        <v>761</v>
      </c>
      <c r="K12" t="s">
        <v>762</v>
      </c>
      <c r="L12">
        <v>3.4</v>
      </c>
      <c r="M12">
        <v>0.74</v>
      </c>
      <c r="N12">
        <v>0.2176470588235294</v>
      </c>
      <c r="O12">
        <v>27</v>
      </c>
      <c r="P12">
        <v>0.06207125806326297</v>
      </c>
      <c r="Q12">
        <v>0.7339263388739721</v>
      </c>
      <c r="R12" t="s">
        <v>765</v>
      </c>
      <c r="S12" t="s">
        <v>773</v>
      </c>
      <c r="T12">
        <v>406.281923</v>
      </c>
      <c r="U12" s="2">
        <v>44400</v>
      </c>
      <c r="V12" t="s">
        <v>787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73.795</v>
      </c>
      <c r="D13">
        <v>82</v>
      </c>
      <c r="E13">
        <v>0.8999390243902439</v>
      </c>
      <c r="F13">
        <v>0.01246696930686361</v>
      </c>
      <c r="G13">
        <v>0.02130952685766552</v>
      </c>
      <c r="H13">
        <v>0.08</v>
      </c>
      <c r="I13">
        <v>0.1125979566293787</v>
      </c>
      <c r="J13" t="s">
        <v>761</v>
      </c>
      <c r="K13" t="s">
        <v>762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0.233540884149672</v>
      </c>
      <c r="R13" t="s">
        <v>765</v>
      </c>
      <c r="S13" t="s">
        <v>772</v>
      </c>
      <c r="T13">
        <v>1370.32706</v>
      </c>
      <c r="U13" s="2">
        <v>44424</v>
      </c>
      <c r="V13" t="s">
        <v>783</v>
      </c>
    </row>
    <row r="14" spans="1:22">
      <c r="A14" s="1" t="s">
        <v>34</v>
      </c>
      <c r="B14">
        <f>HYPERLINK("https://www.suredividend.com/sure-analysis-PH/","Parker-Hannifin Corp.")</f>
        <v>0</v>
      </c>
      <c r="C14">
        <v>290.69</v>
      </c>
      <c r="D14">
        <v>289</v>
      </c>
      <c r="E14">
        <v>1.005847750865052</v>
      </c>
      <c r="F14">
        <v>0.01417317417179814</v>
      </c>
      <c r="G14">
        <v>-0.001165464145697293</v>
      </c>
      <c r="H14">
        <v>0.1</v>
      </c>
      <c r="I14">
        <v>0.1114864902528885</v>
      </c>
      <c r="J14" t="s">
        <v>761</v>
      </c>
      <c r="K14" t="s">
        <v>762</v>
      </c>
      <c r="L14">
        <v>17.5</v>
      </c>
      <c r="M14">
        <v>4.12</v>
      </c>
      <c r="N14">
        <v>0.2354285714285714</v>
      </c>
      <c r="O14">
        <v>65</v>
      </c>
      <c r="P14">
        <v>0.10015574926841</v>
      </c>
      <c r="Q14">
        <v>0.51004039396959</v>
      </c>
      <c r="R14" t="s">
        <v>765</v>
      </c>
      <c r="S14" t="s">
        <v>772</v>
      </c>
      <c r="T14">
        <v>37581.428311</v>
      </c>
      <c r="U14" s="2">
        <v>44447</v>
      </c>
      <c r="V14" t="s">
        <v>787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59.45</v>
      </c>
      <c r="D15">
        <v>68</v>
      </c>
      <c r="E15">
        <v>0.8742647058823529</v>
      </c>
      <c r="F15">
        <v>0.02287636669470143</v>
      </c>
      <c r="G15">
        <v>0.02723879032546495</v>
      </c>
      <c r="H15">
        <v>0.06</v>
      </c>
      <c r="I15">
        <v>0.1076612872597582</v>
      </c>
      <c r="J15" t="s">
        <v>761</v>
      </c>
      <c r="K15" t="s">
        <v>762</v>
      </c>
      <c r="L15">
        <v>4.55</v>
      </c>
      <c r="M15">
        <v>1.36</v>
      </c>
      <c r="N15">
        <v>0.2989010989010989</v>
      </c>
      <c r="O15">
        <v>28</v>
      </c>
      <c r="P15">
        <v>0.06000153927394081</v>
      </c>
      <c r="Q15">
        <v>0.537749756908503</v>
      </c>
      <c r="R15" t="s">
        <v>765</v>
      </c>
      <c r="S15" t="s">
        <v>773</v>
      </c>
      <c r="T15">
        <v>1928.7129</v>
      </c>
      <c r="U15" s="2">
        <v>44399</v>
      </c>
      <c r="V15" t="s">
        <v>786</v>
      </c>
    </row>
    <row r="16" spans="1:22">
      <c r="A16" s="1" t="s">
        <v>36</v>
      </c>
      <c r="B16">
        <f>HYPERLINK("https://www.suredividend.com/sure-analysis-BBY/","Best Buy Co. Inc.")</f>
        <v>0</v>
      </c>
      <c r="C16">
        <v>105.19</v>
      </c>
      <c r="D16">
        <v>116</v>
      </c>
      <c r="E16">
        <v>0.9068103448275862</v>
      </c>
      <c r="F16">
        <v>0.02661849985740089</v>
      </c>
      <c r="G16">
        <v>0.01975702738201557</v>
      </c>
      <c r="H16">
        <v>0.06</v>
      </c>
      <c r="I16">
        <v>0.1045770991718928</v>
      </c>
      <c r="J16" t="s">
        <v>761</v>
      </c>
      <c r="K16" t="s">
        <v>762</v>
      </c>
      <c r="L16">
        <v>9.69</v>
      </c>
      <c r="M16">
        <v>2.8</v>
      </c>
      <c r="N16">
        <v>0.2889576883384933</v>
      </c>
      <c r="O16">
        <v>18</v>
      </c>
      <c r="P16">
        <v>0.07978367728709435</v>
      </c>
      <c r="Q16">
        <v>0.02139375946403</v>
      </c>
      <c r="R16" t="s">
        <v>765</v>
      </c>
      <c r="S16" t="s">
        <v>775</v>
      </c>
      <c r="T16">
        <v>26114.021237</v>
      </c>
      <c r="U16" s="2">
        <v>44452</v>
      </c>
      <c r="V16" t="s">
        <v>788</v>
      </c>
    </row>
    <row r="17" spans="1:22">
      <c r="A17" s="1" t="s">
        <v>37</v>
      </c>
      <c r="B17">
        <f>HYPERLINK("https://www.suredividend.com/sure-analysis-ATO/","Atmos Energy Corp.")</f>
        <v>0</v>
      </c>
      <c r="C17">
        <v>88.65000000000001</v>
      </c>
      <c r="D17">
        <v>97</v>
      </c>
      <c r="E17">
        <v>0.913917525773196</v>
      </c>
      <c r="F17">
        <v>0.02820078962210942</v>
      </c>
      <c r="G17">
        <v>0.01816601988368372</v>
      </c>
      <c r="H17">
        <v>0.06</v>
      </c>
      <c r="I17">
        <v>0.1043826990894459</v>
      </c>
      <c r="J17" t="s">
        <v>761</v>
      </c>
      <c r="K17" t="s">
        <v>762</v>
      </c>
      <c r="L17">
        <v>5.1</v>
      </c>
      <c r="M17">
        <v>2.5</v>
      </c>
      <c r="N17">
        <v>0.4901960784313726</v>
      </c>
      <c r="O17">
        <v>37</v>
      </c>
      <c r="P17">
        <v>0.07980469415608438</v>
      </c>
      <c r="Q17">
        <v>-0.032424165571515</v>
      </c>
      <c r="R17" t="s">
        <v>765</v>
      </c>
      <c r="S17" t="s">
        <v>776</v>
      </c>
      <c r="T17">
        <v>11526.59435</v>
      </c>
      <c r="U17" s="2">
        <v>44427</v>
      </c>
      <c r="V17" t="s">
        <v>785</v>
      </c>
    </row>
    <row r="18" spans="1:22">
      <c r="A18" s="1" t="s">
        <v>38</v>
      </c>
      <c r="B18">
        <f>HYPERLINK("https://www.suredividend.com/sure-analysis-NOC/","Northrop Grumman Corp.")</f>
        <v>0</v>
      </c>
      <c r="C18">
        <v>355.635</v>
      </c>
      <c r="D18">
        <v>369</v>
      </c>
      <c r="E18">
        <v>0.963780487804878</v>
      </c>
      <c r="F18">
        <v>0.01765855441674751</v>
      </c>
      <c r="G18">
        <v>0.007405631059431039</v>
      </c>
      <c r="H18">
        <v>0.08</v>
      </c>
      <c r="I18">
        <v>0.1035208334527846</v>
      </c>
      <c r="J18" t="s">
        <v>761</v>
      </c>
      <c r="K18" t="s">
        <v>762</v>
      </c>
      <c r="L18">
        <v>24.6</v>
      </c>
      <c r="M18">
        <v>6.28</v>
      </c>
      <c r="N18">
        <v>0.2552845528455284</v>
      </c>
      <c r="O18">
        <v>18</v>
      </c>
      <c r="P18">
        <v>0.0800613160089807</v>
      </c>
      <c r="Q18">
        <v>0.084029174351037</v>
      </c>
      <c r="R18" t="s">
        <v>765</v>
      </c>
      <c r="S18" t="s">
        <v>772</v>
      </c>
      <c r="T18">
        <v>56183.885334</v>
      </c>
      <c r="U18" s="2">
        <v>44409</v>
      </c>
      <c r="V18" t="s">
        <v>788</v>
      </c>
    </row>
    <row r="19" spans="1:22">
      <c r="A19" s="1" t="s">
        <v>39</v>
      </c>
      <c r="B19">
        <f>HYPERLINK("https://www.suredividend.com/sure-analysis-ABBV/","Abbvie Inc")</f>
        <v>0</v>
      </c>
      <c r="C19">
        <v>107.735</v>
      </c>
      <c r="D19">
        <v>126</v>
      </c>
      <c r="E19">
        <v>0.8550396825396825</v>
      </c>
      <c r="F19">
        <v>0.04826658003434353</v>
      </c>
      <c r="G19">
        <v>0.0318171589051135</v>
      </c>
      <c r="H19">
        <v>0.03</v>
      </c>
      <c r="I19">
        <v>0.1034519186350356</v>
      </c>
      <c r="J19" t="s">
        <v>761</v>
      </c>
      <c r="K19" t="s">
        <v>761</v>
      </c>
      <c r="L19">
        <v>12.57</v>
      </c>
      <c r="M19">
        <v>5.2</v>
      </c>
      <c r="N19">
        <v>0.4136833731105807</v>
      </c>
      <c r="O19">
        <v>49</v>
      </c>
      <c r="P19">
        <v>0.05010553388446692</v>
      </c>
      <c r="Q19">
        <v>0.293042190078165</v>
      </c>
      <c r="R19" t="s">
        <v>765</v>
      </c>
      <c r="S19" t="s">
        <v>770</v>
      </c>
      <c r="T19">
        <v>189723.965116</v>
      </c>
      <c r="U19" s="2">
        <v>44410</v>
      </c>
      <c r="V19" t="s">
        <v>783</v>
      </c>
    </row>
    <row r="20" spans="1:22">
      <c r="A20" s="1" t="s">
        <v>40</v>
      </c>
      <c r="B20">
        <f>HYPERLINK("https://www.suredividend.com/sure-analysis-ANTM/","Anthem Inc")</f>
        <v>0</v>
      </c>
      <c r="C20">
        <v>379.97</v>
      </c>
      <c r="D20">
        <v>383</v>
      </c>
      <c r="E20">
        <v>0.9920887728459531</v>
      </c>
      <c r="F20">
        <v>0.01189567597441903</v>
      </c>
      <c r="G20">
        <v>0.001589799782911516</v>
      </c>
      <c r="H20">
        <v>0.09</v>
      </c>
      <c r="I20">
        <v>0.1024412237420962</v>
      </c>
      <c r="J20" t="s">
        <v>761</v>
      </c>
      <c r="K20" t="s">
        <v>358</v>
      </c>
      <c r="L20">
        <v>25.5</v>
      </c>
      <c r="M20">
        <v>4.52</v>
      </c>
      <c r="N20">
        <v>0.1772549019607843</v>
      </c>
      <c r="O20">
        <v>11</v>
      </c>
      <c r="P20">
        <v>0.0898563876885603</v>
      </c>
      <c r="Q20">
        <v>0.56665686218775</v>
      </c>
      <c r="R20" t="s">
        <v>765</v>
      </c>
      <c r="S20" t="s">
        <v>770</v>
      </c>
      <c r="T20">
        <v>92723.027044</v>
      </c>
      <c r="U20" s="2">
        <v>44398</v>
      </c>
      <c r="V20" t="s">
        <v>781</v>
      </c>
    </row>
    <row r="21" spans="1:22">
      <c r="A21" s="1" t="s">
        <v>41</v>
      </c>
      <c r="B21">
        <f>HYPERLINK("https://www.suredividend.com/sure-analysis-NFG/","National Fuel Gas Co.")</f>
        <v>0</v>
      </c>
      <c r="C21">
        <v>51.47</v>
      </c>
      <c r="D21">
        <v>61</v>
      </c>
      <c r="E21">
        <v>0.8437704918032787</v>
      </c>
      <c r="F21">
        <v>0.03497182824946571</v>
      </c>
      <c r="G21">
        <v>0.03455869081356422</v>
      </c>
      <c r="H21">
        <v>0.04</v>
      </c>
      <c r="I21">
        <v>0.1024163348135234</v>
      </c>
      <c r="J21" t="s">
        <v>761</v>
      </c>
      <c r="K21" t="s">
        <v>761</v>
      </c>
      <c r="L21">
        <v>4.05</v>
      </c>
      <c r="M21">
        <v>1.8</v>
      </c>
      <c r="N21">
        <v>0.4444444444444445</v>
      </c>
      <c r="O21">
        <v>51</v>
      </c>
      <c r="P21">
        <v>0.02129568760013512</v>
      </c>
      <c r="Q21">
        <v>0.31221904791161</v>
      </c>
      <c r="R21" t="s">
        <v>765</v>
      </c>
      <c r="S21" t="s">
        <v>776</v>
      </c>
      <c r="T21">
        <v>4673.945954</v>
      </c>
      <c r="U21" s="2">
        <v>44427</v>
      </c>
      <c r="V21" t="s">
        <v>787</v>
      </c>
    </row>
    <row r="22" spans="1:22">
      <c r="A22" s="1" t="s">
        <v>42</v>
      </c>
      <c r="B22">
        <f>HYPERLINK("https://www.suredividend.com/sure-analysis-LOW/","Lowe`s Cos., Inc.")</f>
        <v>0</v>
      </c>
      <c r="C22">
        <v>208.18</v>
      </c>
      <c r="D22">
        <v>226.94</v>
      </c>
      <c r="E22">
        <v>0.91733497840839</v>
      </c>
      <c r="F22">
        <v>0.01537131328657892</v>
      </c>
      <c r="G22">
        <v>0.01740626888057517</v>
      </c>
      <c r="H22">
        <v>0.07000000000000001</v>
      </c>
      <c r="I22">
        <v>0.1017755755319072</v>
      </c>
      <c r="J22" t="s">
        <v>761</v>
      </c>
      <c r="K22" t="s">
        <v>762</v>
      </c>
      <c r="L22">
        <v>11.33</v>
      </c>
      <c r="M22">
        <v>3.2</v>
      </c>
      <c r="N22">
        <v>0.2824360105913504</v>
      </c>
      <c r="O22">
        <v>59</v>
      </c>
      <c r="P22">
        <v>0.07008745458377241</v>
      </c>
      <c r="Q22">
        <v>0.325151435410814</v>
      </c>
      <c r="R22" t="s">
        <v>765</v>
      </c>
      <c r="S22" t="s">
        <v>775</v>
      </c>
      <c r="T22">
        <v>144012.150866</v>
      </c>
      <c r="U22" s="2">
        <v>44434</v>
      </c>
      <c r="V22" t="s">
        <v>782</v>
      </c>
    </row>
    <row r="23" spans="1:22">
      <c r="A23" s="1" t="s">
        <v>43</v>
      </c>
      <c r="B23">
        <f>HYPERLINK("https://www.suredividend.com/sure-analysis-MDU/","MDU Resources Group Inc")</f>
        <v>0</v>
      </c>
      <c r="C23">
        <v>29.55</v>
      </c>
      <c r="D23">
        <v>34</v>
      </c>
      <c r="E23">
        <v>0.8691176470588236</v>
      </c>
      <c r="F23">
        <v>0.02876480541455161</v>
      </c>
      <c r="G23">
        <v>0.02845261402576926</v>
      </c>
      <c r="H23">
        <v>0.05</v>
      </c>
      <c r="I23">
        <v>0.1017402687892515</v>
      </c>
      <c r="J23" t="s">
        <v>761</v>
      </c>
      <c r="K23" t="s">
        <v>761</v>
      </c>
      <c r="L23">
        <v>2.1</v>
      </c>
      <c r="M23">
        <v>0.85</v>
      </c>
      <c r="N23">
        <v>0.4047619047619047</v>
      </c>
      <c r="O23">
        <v>30</v>
      </c>
      <c r="P23">
        <v>0.02463800770149693</v>
      </c>
      <c r="Q23">
        <v>0.389779370167829</v>
      </c>
      <c r="R23" t="s">
        <v>765</v>
      </c>
      <c r="S23" t="s">
        <v>771</v>
      </c>
      <c r="T23">
        <v>5967.663816</v>
      </c>
      <c r="U23" s="2">
        <v>44428</v>
      </c>
      <c r="V23" t="s">
        <v>785</v>
      </c>
    </row>
    <row r="24" spans="1:22">
      <c r="A24" s="1" t="s">
        <v>44</v>
      </c>
      <c r="B24">
        <f>HYPERLINK("https://www.suredividend.com/sure-analysis-SWK/","Stanley Black &amp; Decker Inc")</f>
        <v>0</v>
      </c>
      <c r="C24">
        <v>185.15</v>
      </c>
      <c r="D24">
        <v>190</v>
      </c>
      <c r="E24">
        <v>0.9744736842105264</v>
      </c>
      <c r="F24">
        <v>0.01706724277612746</v>
      </c>
      <c r="G24">
        <v>0.005184948522180433</v>
      </c>
      <c r="H24">
        <v>0.08</v>
      </c>
      <c r="I24">
        <v>0.1007364946051734</v>
      </c>
      <c r="J24" t="s">
        <v>761</v>
      </c>
      <c r="K24" t="s">
        <v>762</v>
      </c>
      <c r="L24">
        <v>11.5</v>
      </c>
      <c r="M24">
        <v>3.16</v>
      </c>
      <c r="N24">
        <v>0.2747826086956522</v>
      </c>
      <c r="O24">
        <v>53</v>
      </c>
      <c r="P24">
        <v>0.07985683020954282</v>
      </c>
      <c r="Q24">
        <v>0.194625126052542</v>
      </c>
      <c r="R24" t="s">
        <v>765</v>
      </c>
      <c r="S24" t="s">
        <v>772</v>
      </c>
      <c r="T24">
        <v>30058.353812</v>
      </c>
      <c r="U24" s="2">
        <v>44404</v>
      </c>
      <c r="V24" t="s">
        <v>781</v>
      </c>
    </row>
    <row r="25" spans="1:22">
      <c r="A25" s="1" t="s">
        <v>45</v>
      </c>
      <c r="B25">
        <f>HYPERLINK("https://www.suredividend.com/sure-analysis-BDX/","Becton, Dickinson And Co.")</f>
        <v>0</v>
      </c>
      <c r="C25">
        <v>254.225</v>
      </c>
      <c r="D25">
        <v>240</v>
      </c>
      <c r="E25">
        <v>1.059270833333333</v>
      </c>
      <c r="F25">
        <v>0.01305929786606353</v>
      </c>
      <c r="G25">
        <v>-0.01145009856415813</v>
      </c>
      <c r="H25">
        <v>0.1</v>
      </c>
      <c r="I25">
        <v>0.09967449973890696</v>
      </c>
      <c r="J25" t="s">
        <v>761</v>
      </c>
      <c r="K25" t="s">
        <v>762</v>
      </c>
      <c r="L25">
        <v>12.9</v>
      </c>
      <c r="M25">
        <v>3.32</v>
      </c>
      <c r="N25">
        <v>0.2573643410852713</v>
      </c>
      <c r="O25">
        <v>49</v>
      </c>
      <c r="P25">
        <v>0.1001278007942721</v>
      </c>
      <c r="Q25">
        <v>0.140469829356381</v>
      </c>
      <c r="R25" t="s">
        <v>765</v>
      </c>
      <c r="S25" t="s">
        <v>770</v>
      </c>
      <c r="T25">
        <v>72894.611488</v>
      </c>
      <c r="U25" s="2">
        <v>44419</v>
      </c>
      <c r="V25" t="s">
        <v>781</v>
      </c>
    </row>
    <row r="26" spans="1:22">
      <c r="A26" s="1" t="s">
        <v>46</v>
      </c>
      <c r="B26">
        <f>HYPERLINK("https://www.suredividend.com/sure-analysis-ROP/","Roper Technologies Inc")</f>
        <v>0</v>
      </c>
      <c r="C26">
        <v>464.38</v>
      </c>
      <c r="D26">
        <v>453</v>
      </c>
      <c r="E26">
        <v>1.025121412803532</v>
      </c>
      <c r="F26">
        <v>0.004845169903957966</v>
      </c>
      <c r="G26">
        <v>-0.004949919986456219</v>
      </c>
      <c r="H26">
        <v>0.1</v>
      </c>
      <c r="I26">
        <v>0.09904904357458943</v>
      </c>
      <c r="J26" t="s">
        <v>761</v>
      </c>
      <c r="K26" t="s">
        <v>358</v>
      </c>
      <c r="L26">
        <v>15.1</v>
      </c>
      <c r="M26">
        <v>2.25</v>
      </c>
      <c r="N26">
        <v>0.1490066225165563</v>
      </c>
      <c r="O26">
        <v>28</v>
      </c>
      <c r="P26">
        <v>0.09977846264348122</v>
      </c>
      <c r="Q26">
        <v>0.203638722659767</v>
      </c>
      <c r="R26" t="s">
        <v>765</v>
      </c>
      <c r="S26" t="s">
        <v>772</v>
      </c>
      <c r="T26">
        <v>48782.775334</v>
      </c>
      <c r="U26" s="2">
        <v>44401</v>
      </c>
      <c r="V26" t="s">
        <v>780</v>
      </c>
    </row>
    <row r="27" spans="1:22">
      <c r="A27" s="1" t="s">
        <v>47</v>
      </c>
      <c r="B27">
        <f>HYPERLINK("https://www.suredividend.com/sure-analysis-WBA/","Walgreens Boots Alliance Inc")</f>
        <v>0</v>
      </c>
      <c r="C27">
        <v>48.38</v>
      </c>
      <c r="D27">
        <v>52</v>
      </c>
      <c r="E27">
        <v>0.9303846153846155</v>
      </c>
      <c r="F27">
        <v>0.03947912360479536</v>
      </c>
      <c r="G27">
        <v>0.01453607869244</v>
      </c>
      <c r="H27">
        <v>0.05</v>
      </c>
      <c r="I27">
        <v>0.09877310629956337</v>
      </c>
      <c r="J27" t="s">
        <v>761</v>
      </c>
      <c r="K27" t="s">
        <v>761</v>
      </c>
      <c r="L27">
        <v>5.2</v>
      </c>
      <c r="M27">
        <v>1.91</v>
      </c>
      <c r="N27">
        <v>0.3673076923076923</v>
      </c>
      <c r="O27">
        <v>46</v>
      </c>
      <c r="P27">
        <v>0.05105766428149994</v>
      </c>
      <c r="Q27">
        <v>0.438080343762334</v>
      </c>
      <c r="R27" t="s">
        <v>765</v>
      </c>
      <c r="S27" t="s">
        <v>770</v>
      </c>
      <c r="T27">
        <v>41917.284849</v>
      </c>
      <c r="U27" s="2">
        <v>44380</v>
      </c>
      <c r="V27" t="s">
        <v>784</v>
      </c>
    </row>
    <row r="28" spans="1:22">
      <c r="A28" s="1" t="s">
        <v>48</v>
      </c>
      <c r="B28">
        <f>HYPERLINK("https://www.suredividend.com/sure-analysis-EFSI/","Eagle Financial Services, Inc.")</f>
        <v>0</v>
      </c>
      <c r="C28">
        <v>34.2</v>
      </c>
      <c r="D28">
        <v>37</v>
      </c>
      <c r="E28">
        <v>0.9243243243243244</v>
      </c>
      <c r="F28">
        <v>0.03274853801169591</v>
      </c>
      <c r="G28">
        <v>0.0158629554753329</v>
      </c>
      <c r="H28">
        <v>0.055</v>
      </c>
      <c r="I28">
        <v>0.09877146022261751</v>
      </c>
      <c r="J28" t="s">
        <v>761</v>
      </c>
      <c r="K28" t="s">
        <v>761</v>
      </c>
      <c r="L28">
        <v>3.4</v>
      </c>
      <c r="M28">
        <v>1.12</v>
      </c>
      <c r="N28">
        <v>0.3294117647058824</v>
      </c>
      <c r="O28">
        <v>35</v>
      </c>
      <c r="P28">
        <v>0.04563955259127317</v>
      </c>
      <c r="Q28">
        <v>0.36349501247877</v>
      </c>
      <c r="R28" t="s">
        <v>765</v>
      </c>
      <c r="S28" t="s">
        <v>773</v>
      </c>
      <c r="T28">
        <v>117.962777</v>
      </c>
      <c r="U28" s="2">
        <v>44408</v>
      </c>
      <c r="V28" t="s">
        <v>783</v>
      </c>
    </row>
    <row r="29" spans="1:22">
      <c r="A29" s="1" t="s">
        <v>49</v>
      </c>
      <c r="B29">
        <f>HYPERLINK("https://www.suredividend.com/sure-analysis-PPG/","PPG Industries, Inc.")</f>
        <v>0</v>
      </c>
      <c r="C29">
        <v>148.4</v>
      </c>
      <c r="D29">
        <v>151</v>
      </c>
      <c r="E29">
        <v>0.9827814569536424</v>
      </c>
      <c r="F29">
        <v>0.01590296495956873</v>
      </c>
      <c r="G29">
        <v>0.003479741508430667</v>
      </c>
      <c r="H29">
        <v>0.08</v>
      </c>
      <c r="I29">
        <v>0.0979934851874924</v>
      </c>
      <c r="J29" t="s">
        <v>761</v>
      </c>
      <c r="K29" t="s">
        <v>762</v>
      </c>
      <c r="L29">
        <v>7.97</v>
      </c>
      <c r="M29">
        <v>2.36</v>
      </c>
      <c r="N29">
        <v>0.2961104140526976</v>
      </c>
      <c r="O29">
        <v>50</v>
      </c>
      <c r="P29">
        <v>0.08014856837381279</v>
      </c>
      <c r="Q29">
        <v>0.256376419018513</v>
      </c>
      <c r="R29" t="s">
        <v>765</v>
      </c>
      <c r="S29" t="s">
        <v>771</v>
      </c>
      <c r="T29">
        <v>34777.486102</v>
      </c>
      <c r="U29" s="2">
        <v>44397</v>
      </c>
      <c r="V29" t="s">
        <v>781</v>
      </c>
    </row>
    <row r="30" spans="1:22">
      <c r="A30" s="1" t="s">
        <v>50</v>
      </c>
      <c r="B30">
        <f>HYPERLINK("https://www.suredividend.com/sure-analysis-CTBI/","Community Trust Bancorp, Inc.")</f>
        <v>0</v>
      </c>
      <c r="C30">
        <v>40.465</v>
      </c>
      <c r="D30">
        <v>48</v>
      </c>
      <c r="E30">
        <v>0.8430208333333334</v>
      </c>
      <c r="F30">
        <v>0.03805758062523168</v>
      </c>
      <c r="G30">
        <v>0.03474262220224311</v>
      </c>
      <c r="H30">
        <v>0.03</v>
      </c>
      <c r="I30">
        <v>0.09639692171980974</v>
      </c>
      <c r="J30" t="s">
        <v>761</v>
      </c>
      <c r="K30" t="s">
        <v>761</v>
      </c>
      <c r="L30">
        <v>4</v>
      </c>
      <c r="M30">
        <v>1.54</v>
      </c>
      <c r="N30">
        <v>0.385</v>
      </c>
      <c r="O30">
        <v>40</v>
      </c>
      <c r="P30">
        <v>0.03169269824246657</v>
      </c>
      <c r="Q30">
        <v>0.4874607686385971</v>
      </c>
      <c r="R30" t="s">
        <v>765</v>
      </c>
      <c r="S30" t="s">
        <v>773</v>
      </c>
      <c r="T30">
        <v>716.881609</v>
      </c>
      <c r="U30" s="2">
        <v>44399</v>
      </c>
      <c r="V30" t="s">
        <v>787</v>
      </c>
    </row>
    <row r="31" spans="1:22">
      <c r="A31" s="1" t="s">
        <v>51</v>
      </c>
      <c r="B31">
        <f>HYPERLINK("https://www.suredividend.com/sure-analysis-AXS/","Axis Capital Holdings Ltd")</f>
        <v>0</v>
      </c>
      <c r="C31">
        <v>44.92</v>
      </c>
      <c r="D31">
        <v>53</v>
      </c>
      <c r="E31">
        <v>0.8475471698113208</v>
      </c>
      <c r="F31">
        <v>0.03739982190560997</v>
      </c>
      <c r="G31">
        <v>0.03363504241457815</v>
      </c>
      <c r="H31">
        <v>0.03</v>
      </c>
      <c r="I31">
        <v>0.09475409122985279</v>
      </c>
      <c r="J31" t="s">
        <v>761</v>
      </c>
      <c r="K31" t="s">
        <v>761</v>
      </c>
      <c r="L31">
        <v>5.1</v>
      </c>
      <c r="M31">
        <v>1.68</v>
      </c>
      <c r="N31">
        <v>0.3294117647058823</v>
      </c>
      <c r="O31">
        <v>19</v>
      </c>
      <c r="P31">
        <v>0.03025579475561258</v>
      </c>
      <c r="Q31">
        <v>0.086932855950552</v>
      </c>
      <c r="R31" t="s">
        <v>765</v>
      </c>
      <c r="S31" t="s">
        <v>773</v>
      </c>
      <c r="T31">
        <v>3808.698173</v>
      </c>
      <c r="U31" s="2">
        <v>44409</v>
      </c>
      <c r="V31" t="s">
        <v>785</v>
      </c>
    </row>
    <row r="32" spans="1:22">
      <c r="A32" s="1" t="s">
        <v>52</v>
      </c>
      <c r="B32">
        <f>HYPERLINK("https://www.suredividend.com/sure-analysis-CP/","Canadian Pacific Railway Ltd")</f>
        <v>0</v>
      </c>
      <c r="C32">
        <v>65.78</v>
      </c>
      <c r="D32">
        <v>61</v>
      </c>
      <c r="E32">
        <v>1.078360655737705</v>
      </c>
      <c r="F32">
        <v>0.009273335360291882</v>
      </c>
      <c r="G32">
        <v>-0.01497513583104415</v>
      </c>
      <c r="H32">
        <v>0.1</v>
      </c>
      <c r="I32">
        <v>0.0929640734332402</v>
      </c>
      <c r="J32" t="s">
        <v>761</v>
      </c>
      <c r="K32" t="s">
        <v>498</v>
      </c>
      <c r="L32">
        <v>3.06</v>
      </c>
      <c r="M32">
        <v>0.61</v>
      </c>
      <c r="N32">
        <v>0.1993464052287582</v>
      </c>
      <c r="O32">
        <v>5</v>
      </c>
      <c r="P32">
        <v>0.1210339987642413</v>
      </c>
      <c r="Q32">
        <v>0.09387165036639701</v>
      </c>
      <c r="R32" t="s">
        <v>765</v>
      </c>
      <c r="S32" t="s">
        <v>772</v>
      </c>
      <c r="T32">
        <v>43194.196569</v>
      </c>
      <c r="U32" s="2">
        <v>44411</v>
      </c>
      <c r="V32" t="s">
        <v>789</v>
      </c>
    </row>
    <row r="33" spans="1:22">
      <c r="A33" s="1" t="s">
        <v>53</v>
      </c>
      <c r="B33">
        <f>HYPERLINK("https://www.suredividend.com/sure-analysis-RNR/","RenaissanceRe Holdings Ltd")</f>
        <v>0</v>
      </c>
      <c r="C33">
        <v>141.91</v>
      </c>
      <c r="D33">
        <v>167</v>
      </c>
      <c r="E33">
        <v>0.8497604790419161</v>
      </c>
      <c r="F33">
        <v>0.01014727644281587</v>
      </c>
      <c r="G33">
        <v>0.03309603377224302</v>
      </c>
      <c r="H33">
        <v>0.05</v>
      </c>
      <c r="I33">
        <v>0.09256628790643751</v>
      </c>
      <c r="J33" t="s">
        <v>761</v>
      </c>
      <c r="K33" t="s">
        <v>358</v>
      </c>
      <c r="L33">
        <v>11</v>
      </c>
      <c r="M33">
        <v>1.44</v>
      </c>
      <c r="N33">
        <v>0.1309090909090909</v>
      </c>
      <c r="O33">
        <v>26</v>
      </c>
      <c r="P33">
        <v>0.02635185407071083</v>
      </c>
      <c r="Q33">
        <v>-0.131823085749854</v>
      </c>
      <c r="R33" t="s">
        <v>765</v>
      </c>
      <c r="S33" t="s">
        <v>773</v>
      </c>
      <c r="T33">
        <v>6675.304675</v>
      </c>
      <c r="U33" s="2">
        <v>44403</v>
      </c>
      <c r="V33" t="s">
        <v>784</v>
      </c>
    </row>
    <row r="34" spans="1:22">
      <c r="A34" s="1" t="s">
        <v>54</v>
      </c>
      <c r="B34">
        <f>HYPERLINK("https://www.suredividend.com/sure-analysis-BKH/","Black Hills Corporation")</f>
        <v>0</v>
      </c>
      <c r="C34">
        <v>63.26</v>
      </c>
      <c r="D34">
        <v>70</v>
      </c>
      <c r="E34">
        <v>0.9037142857142857</v>
      </c>
      <c r="F34">
        <v>0.03572557698387607</v>
      </c>
      <c r="G34">
        <v>0.02045479444999909</v>
      </c>
      <c r="H34">
        <v>0.04</v>
      </c>
      <c r="I34">
        <v>0.09208012252350173</v>
      </c>
      <c r="J34" t="s">
        <v>761</v>
      </c>
      <c r="K34" t="s">
        <v>761</v>
      </c>
      <c r="L34">
        <v>3.9</v>
      </c>
      <c r="M34">
        <v>2.26</v>
      </c>
      <c r="N34">
        <v>0.5794871794871794</v>
      </c>
      <c r="O34">
        <v>49</v>
      </c>
      <c r="P34">
        <v>0.04967972745840021</v>
      </c>
      <c r="Q34">
        <v>0.248408146341944</v>
      </c>
      <c r="R34" t="s">
        <v>765</v>
      </c>
      <c r="S34" t="s">
        <v>776</v>
      </c>
      <c r="T34">
        <v>4013.857472</v>
      </c>
      <c r="U34" s="2">
        <v>44418</v>
      </c>
      <c r="V34" t="s">
        <v>783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34.685</v>
      </c>
      <c r="D35">
        <v>42</v>
      </c>
      <c r="E35">
        <v>0.8258333333333334</v>
      </c>
      <c r="F35">
        <v>0.02479457978953438</v>
      </c>
      <c r="G35">
        <v>0.03901428444903576</v>
      </c>
      <c r="H35">
        <v>0.03</v>
      </c>
      <c r="I35">
        <v>0.09129890484775594</v>
      </c>
      <c r="J35" t="s">
        <v>761</v>
      </c>
      <c r="K35" t="s">
        <v>762</v>
      </c>
      <c r="L35">
        <v>3.25</v>
      </c>
      <c r="M35">
        <v>0.86</v>
      </c>
      <c r="N35">
        <v>0.2646153846153846</v>
      </c>
      <c r="O35">
        <v>27</v>
      </c>
      <c r="P35">
        <v>0.05045837224621441</v>
      </c>
      <c r="Q35">
        <v>0.6395767065729581</v>
      </c>
      <c r="R35" t="s">
        <v>765</v>
      </c>
      <c r="S35" t="s">
        <v>772</v>
      </c>
      <c r="T35">
        <v>1096.643557</v>
      </c>
      <c r="U35" s="2">
        <v>44417</v>
      </c>
      <c r="V35" t="s">
        <v>782</v>
      </c>
    </row>
    <row r="36" spans="1:22">
      <c r="A36" s="1" t="s">
        <v>56</v>
      </c>
      <c r="B36">
        <f>HYPERLINK("https://www.suredividend.com/sure-analysis-SWKS/","Skyworks Solutions, Inc.")</f>
        <v>0</v>
      </c>
      <c r="C36">
        <v>173.185</v>
      </c>
      <c r="D36">
        <v>156</v>
      </c>
      <c r="E36">
        <v>1.110160256410256</v>
      </c>
      <c r="F36">
        <v>0.01293414556687935</v>
      </c>
      <c r="G36">
        <v>-0.02068396652835591</v>
      </c>
      <c r="H36">
        <v>0.1</v>
      </c>
      <c r="I36">
        <v>0.08950426682074508</v>
      </c>
      <c r="J36" t="s">
        <v>761</v>
      </c>
      <c r="K36" t="s">
        <v>358</v>
      </c>
      <c r="L36">
        <v>10.41</v>
      </c>
      <c r="M36">
        <v>2.24</v>
      </c>
      <c r="N36">
        <v>0.2151777137367916</v>
      </c>
      <c r="O36">
        <v>7</v>
      </c>
      <c r="P36">
        <v>0.09022017694025841</v>
      </c>
      <c r="Q36">
        <v>0.31036750615156</v>
      </c>
      <c r="R36" t="s">
        <v>765</v>
      </c>
      <c r="S36" t="s">
        <v>777</v>
      </c>
      <c r="T36">
        <v>28626.22234</v>
      </c>
      <c r="U36" s="2">
        <v>44443</v>
      </c>
      <c r="V36" t="s">
        <v>786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896.5</v>
      </c>
      <c r="D37">
        <v>1008</v>
      </c>
      <c r="E37">
        <v>0.8893849206349206</v>
      </c>
      <c r="F37">
        <v>0.01706636921360848</v>
      </c>
      <c r="G37">
        <v>0.02372202634391285</v>
      </c>
      <c r="H37">
        <v>0.05</v>
      </c>
      <c r="I37">
        <v>0.08935012154220412</v>
      </c>
      <c r="J37" t="s">
        <v>761</v>
      </c>
      <c r="K37" t="s">
        <v>762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0.260135906325165</v>
      </c>
      <c r="R37" t="s">
        <v>765</v>
      </c>
      <c r="S37" t="s">
        <v>773</v>
      </c>
      <c r="T37">
        <v>710.885054</v>
      </c>
      <c r="U37" s="2">
        <v>44424</v>
      </c>
      <c r="V37" t="s">
        <v>787</v>
      </c>
    </row>
    <row r="38" spans="1:22">
      <c r="A38" s="1" t="s">
        <v>58</v>
      </c>
      <c r="B38">
        <f>HYPERLINK("https://www.suredividend.com/sure-analysis-JW.A/","John Wiley &amp; Sons Inc.")</f>
        <v>0</v>
      </c>
      <c r="C38">
        <v>55.29</v>
      </c>
      <c r="D38">
        <v>62</v>
      </c>
      <c r="E38">
        <v>0.8917741935483871</v>
      </c>
      <c r="F38">
        <v>0.02495930548019533</v>
      </c>
      <c r="G38">
        <v>0.02317287906882615</v>
      </c>
      <c r="H38">
        <v>0.045</v>
      </c>
      <c r="I38">
        <v>0.08933227004045352</v>
      </c>
      <c r="J38" t="s">
        <v>761</v>
      </c>
      <c r="K38" t="s">
        <v>762</v>
      </c>
      <c r="L38">
        <v>4.12</v>
      </c>
      <c r="M38">
        <v>1.38</v>
      </c>
      <c r="N38">
        <v>0.3349514563106796</v>
      </c>
      <c r="O38">
        <v>28</v>
      </c>
      <c r="P38">
        <v>0.03002598081465924</v>
      </c>
      <c r="Q38">
        <v>0.8003049821335091</v>
      </c>
      <c r="R38" t="s">
        <v>765</v>
      </c>
      <c r="S38" t="s">
        <v>769</v>
      </c>
      <c r="T38">
        <v>3090.571705</v>
      </c>
      <c r="U38" s="2">
        <v>44453</v>
      </c>
      <c r="V38" t="s">
        <v>783</v>
      </c>
    </row>
    <row r="39" spans="1:22">
      <c r="A39" s="1" t="s">
        <v>59</v>
      </c>
      <c r="B39">
        <f>HYPERLINK("https://www.suredividend.com/sure-analysis-SYK/","Stryker Corp.")</f>
        <v>0</v>
      </c>
      <c r="C39">
        <v>276.63</v>
      </c>
      <c r="D39">
        <v>229</v>
      </c>
      <c r="E39">
        <v>1.207991266375546</v>
      </c>
      <c r="F39">
        <v>0.00910964103676391</v>
      </c>
      <c r="G39">
        <v>-0.03708657630730505</v>
      </c>
      <c r="H39">
        <v>0.12</v>
      </c>
      <c r="I39">
        <v>0.08787854931303518</v>
      </c>
      <c r="J39" t="s">
        <v>761</v>
      </c>
      <c r="K39" t="s">
        <v>358</v>
      </c>
      <c r="L39">
        <v>9.33</v>
      </c>
      <c r="M39">
        <v>2.52</v>
      </c>
      <c r="N39">
        <v>0.2700964630225081</v>
      </c>
      <c r="O39">
        <v>27</v>
      </c>
      <c r="P39">
        <v>0.1199444602155453</v>
      </c>
      <c r="Q39">
        <v>0.3787277721584451</v>
      </c>
      <c r="R39" t="s">
        <v>765</v>
      </c>
      <c r="S39" t="s">
        <v>770</v>
      </c>
      <c r="T39">
        <v>104138.906476</v>
      </c>
      <c r="U39" s="2">
        <v>44405</v>
      </c>
      <c r="V39" t="s">
        <v>781</v>
      </c>
    </row>
    <row r="40" spans="1:22">
      <c r="A40" s="1" t="s">
        <v>60</v>
      </c>
      <c r="B40">
        <f>HYPERLINK("https://www.suredividend.com/sure-analysis-BRC/","Brady Corp.")</f>
        <v>0</v>
      </c>
      <c r="C40">
        <v>50.98</v>
      </c>
      <c r="D40">
        <v>57</v>
      </c>
      <c r="E40">
        <v>0.8943859649122806</v>
      </c>
      <c r="F40">
        <v>0.01765398195370734</v>
      </c>
      <c r="G40">
        <v>0.02257460927334631</v>
      </c>
      <c r="H40">
        <v>0.05</v>
      </c>
      <c r="I40">
        <v>0.08741859816965336</v>
      </c>
      <c r="J40" t="s">
        <v>761</v>
      </c>
      <c r="K40" t="s">
        <v>762</v>
      </c>
      <c r="L40">
        <v>3</v>
      </c>
      <c r="M40">
        <v>0.9</v>
      </c>
      <c r="N40">
        <v>0.3</v>
      </c>
      <c r="O40">
        <v>36</v>
      </c>
      <c r="P40">
        <v>0.01924487649145656</v>
      </c>
      <c r="Q40">
        <v>0.354276782647363</v>
      </c>
      <c r="R40" t="s">
        <v>765</v>
      </c>
      <c r="S40" t="s">
        <v>772</v>
      </c>
      <c r="T40">
        <v>2468.146541</v>
      </c>
      <c r="U40" s="2">
        <v>44461</v>
      </c>
      <c r="V40" t="s">
        <v>781</v>
      </c>
    </row>
    <row r="41" spans="1:22">
      <c r="A41" s="1" t="s">
        <v>61</v>
      </c>
      <c r="B41">
        <f>HYPERLINK("https://www.suredividend.com/sure-analysis-CAH/","Cardinal Health, Inc.")</f>
        <v>0</v>
      </c>
      <c r="C41">
        <v>51.72</v>
      </c>
      <c r="D41">
        <v>58</v>
      </c>
      <c r="E41">
        <v>0.8917241379310344</v>
      </c>
      <c r="F41">
        <v>0.03789636504253674</v>
      </c>
      <c r="G41">
        <v>0.02318436567057147</v>
      </c>
      <c r="H41">
        <v>0.03</v>
      </c>
      <c r="I41">
        <v>0.08638096354690106</v>
      </c>
      <c r="J41" t="s">
        <v>761</v>
      </c>
      <c r="K41" t="s">
        <v>761</v>
      </c>
      <c r="L41">
        <v>5.75</v>
      </c>
      <c r="M41">
        <v>1.96</v>
      </c>
      <c r="N41">
        <v>0.3408695652173913</v>
      </c>
      <c r="O41">
        <v>34</v>
      </c>
      <c r="P41">
        <v>0.03959498820755258</v>
      </c>
      <c r="Q41">
        <v>0.17658917427998</v>
      </c>
      <c r="R41" t="s">
        <v>765</v>
      </c>
      <c r="S41" t="s">
        <v>770</v>
      </c>
      <c r="T41">
        <v>14573.754898</v>
      </c>
      <c r="U41" s="2">
        <v>44417</v>
      </c>
      <c r="V41" t="s">
        <v>784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59.855</v>
      </c>
      <c r="D42">
        <v>64</v>
      </c>
      <c r="E42">
        <v>0.935234375</v>
      </c>
      <c r="F42">
        <v>0.0123632110934759</v>
      </c>
      <c r="G42">
        <v>0.01348169191760085</v>
      </c>
      <c r="H42">
        <v>0.06</v>
      </c>
      <c r="I42">
        <v>0.08582090104456652</v>
      </c>
      <c r="J42" t="s">
        <v>761</v>
      </c>
      <c r="K42" t="s">
        <v>358</v>
      </c>
      <c r="L42">
        <v>3.75</v>
      </c>
      <c r="M42">
        <v>0.74</v>
      </c>
      <c r="N42">
        <v>0.1973333333333333</v>
      </c>
      <c r="O42">
        <v>30</v>
      </c>
      <c r="P42">
        <v>0.08053529061413389</v>
      </c>
      <c r="Q42">
        <v>0.208548418298258</v>
      </c>
      <c r="R42" t="s">
        <v>765</v>
      </c>
      <c r="S42" t="s">
        <v>773</v>
      </c>
      <c r="T42">
        <v>8372.897872</v>
      </c>
      <c r="U42" s="2">
        <v>44400</v>
      </c>
      <c r="V42" t="s">
        <v>785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210.89</v>
      </c>
      <c r="D43">
        <v>286</v>
      </c>
      <c r="E43">
        <v>0.7373776223776223</v>
      </c>
      <c r="F43">
        <v>0.02655412774432168</v>
      </c>
      <c r="G43">
        <v>0.06282560651436309</v>
      </c>
      <c r="H43">
        <v>0</v>
      </c>
      <c r="I43">
        <v>0.08529356252110176</v>
      </c>
      <c r="J43" t="s">
        <v>761</v>
      </c>
      <c r="K43" t="s">
        <v>762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0.219587620444634</v>
      </c>
      <c r="R43" t="s">
        <v>765</v>
      </c>
      <c r="S43" t="s">
        <v>775</v>
      </c>
      <c r="T43">
        <v>13106.284525</v>
      </c>
      <c r="U43" s="2">
        <v>44399</v>
      </c>
      <c r="V43" t="s">
        <v>784</v>
      </c>
    </row>
    <row r="44" spans="1:22">
      <c r="A44" s="1" t="s">
        <v>64</v>
      </c>
      <c r="B44">
        <f>HYPERLINK("https://www.suredividend.com/sure-analysis-LEG/","Leggett &amp; Platt, Inc.")</f>
        <v>0</v>
      </c>
      <c r="C44">
        <v>46.19</v>
      </c>
      <c r="D44">
        <v>47</v>
      </c>
      <c r="E44">
        <v>0.9827659574468085</v>
      </c>
      <c r="F44">
        <v>0.03637150898462871</v>
      </c>
      <c r="G44">
        <v>0.003482906726532731</v>
      </c>
      <c r="H44">
        <v>0.05</v>
      </c>
      <c r="I44">
        <v>0.0849481013747293</v>
      </c>
      <c r="J44" t="s">
        <v>761</v>
      </c>
      <c r="K44" t="s">
        <v>761</v>
      </c>
      <c r="L44">
        <v>2.96</v>
      </c>
      <c r="M44">
        <v>1.68</v>
      </c>
      <c r="N44">
        <v>0.5675675675675675</v>
      </c>
      <c r="O44">
        <v>48</v>
      </c>
      <c r="P44">
        <v>0.03959498820755258</v>
      </c>
      <c r="Q44">
        <v>0.153676156610289</v>
      </c>
      <c r="R44" t="s">
        <v>765</v>
      </c>
      <c r="S44" t="s">
        <v>775</v>
      </c>
      <c r="T44">
        <v>6158.409827</v>
      </c>
      <c r="U44" s="2">
        <v>44417</v>
      </c>
      <c r="V44" t="s">
        <v>783</v>
      </c>
    </row>
    <row r="45" spans="1:22">
      <c r="A45" s="1" t="s">
        <v>65</v>
      </c>
      <c r="B45">
        <f>HYPERLINK("https://www.suredividend.com/sure-analysis-SKM/","SK Telecom Co Ltd")</f>
        <v>0</v>
      </c>
      <c r="C45">
        <v>28.81</v>
      </c>
      <c r="D45">
        <v>30</v>
      </c>
      <c r="E45">
        <v>0.9603333333333333</v>
      </c>
      <c r="F45">
        <v>0.0347101700798334</v>
      </c>
      <c r="G45">
        <v>0.008127819342253151</v>
      </c>
      <c r="H45">
        <v>0.05</v>
      </c>
      <c r="I45">
        <v>0.08484014777426374</v>
      </c>
      <c r="J45" t="s">
        <v>761</v>
      </c>
      <c r="K45" t="s">
        <v>761</v>
      </c>
      <c r="L45">
        <v>9</v>
      </c>
      <c r="M45">
        <v>1</v>
      </c>
      <c r="N45">
        <v>0.1111111111111111</v>
      </c>
      <c r="O45">
        <v>0</v>
      </c>
      <c r="P45">
        <v>0</v>
      </c>
      <c r="Q45">
        <v>0.378909174132579</v>
      </c>
      <c r="R45" t="s">
        <v>765</v>
      </c>
      <c r="S45" t="s">
        <v>769</v>
      </c>
      <c r="T45">
        <v>18755.81402</v>
      </c>
      <c r="U45" s="2">
        <v>44439</v>
      </c>
      <c r="V45" t="s">
        <v>782</v>
      </c>
    </row>
    <row r="46" spans="1:22">
      <c r="A46" s="1" t="s">
        <v>66</v>
      </c>
      <c r="B46">
        <f>HYPERLINK("https://www.suredividend.com/sure-analysis-MMM/","3M Co.")</f>
        <v>0</v>
      </c>
      <c r="C46">
        <v>181.74</v>
      </c>
      <c r="D46">
        <v>188</v>
      </c>
      <c r="E46">
        <v>0.9667021276595745</v>
      </c>
      <c r="F46">
        <v>0.03257400682293386</v>
      </c>
      <c r="G46">
        <v>0.006795962169770853</v>
      </c>
      <c r="H46">
        <v>0.05</v>
      </c>
      <c r="I46">
        <v>0.08348838110374879</v>
      </c>
      <c r="J46" t="s">
        <v>761</v>
      </c>
      <c r="K46" t="s">
        <v>761</v>
      </c>
      <c r="L46">
        <v>9.9</v>
      </c>
      <c r="M46">
        <v>5.92</v>
      </c>
      <c r="N46">
        <v>0.5979797979797979</v>
      </c>
      <c r="O46">
        <v>63</v>
      </c>
      <c r="P46">
        <v>0.02011987338221144</v>
      </c>
      <c r="Q46">
        <v>0.174768207677637</v>
      </c>
      <c r="R46" t="s">
        <v>765</v>
      </c>
      <c r="S46" t="s">
        <v>772</v>
      </c>
      <c r="T46">
        <v>105040.202067</v>
      </c>
      <c r="U46" s="2">
        <v>44404</v>
      </c>
      <c r="V46" t="s">
        <v>781</v>
      </c>
    </row>
    <row r="47" spans="1:22">
      <c r="A47" s="1" t="s">
        <v>67</v>
      </c>
      <c r="B47">
        <f>HYPERLINK("https://www.suredividend.com/sure-analysis-QCOM/","Qualcomm, Inc.")</f>
        <v>0</v>
      </c>
      <c r="C47">
        <v>134.08</v>
      </c>
      <c r="D47">
        <v>130</v>
      </c>
      <c r="E47">
        <v>1.031384615384616</v>
      </c>
      <c r="F47">
        <v>0.02028639618138425</v>
      </c>
      <c r="G47">
        <v>-0.006161377639105625</v>
      </c>
      <c r="H47">
        <v>0.07000000000000001</v>
      </c>
      <c r="I47">
        <v>0.08223569492628946</v>
      </c>
      <c r="J47" t="s">
        <v>761</v>
      </c>
      <c r="K47" t="s">
        <v>762</v>
      </c>
      <c r="L47">
        <v>8.26</v>
      </c>
      <c r="M47">
        <v>2.72</v>
      </c>
      <c r="N47">
        <v>0.3292978208232446</v>
      </c>
      <c r="O47">
        <v>19</v>
      </c>
      <c r="P47">
        <v>0.06972270615977982</v>
      </c>
      <c r="Q47">
        <v>0.234068435458156</v>
      </c>
      <c r="R47" t="s">
        <v>765</v>
      </c>
      <c r="S47" t="s">
        <v>777</v>
      </c>
      <c r="T47">
        <v>151050.48</v>
      </c>
      <c r="U47" s="2">
        <v>44407</v>
      </c>
      <c r="V47" t="s">
        <v>781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223.01</v>
      </c>
      <c r="D48">
        <v>206</v>
      </c>
      <c r="E48">
        <v>1.08257281553398</v>
      </c>
      <c r="F48">
        <v>0.01829514371552845</v>
      </c>
      <c r="G48">
        <v>-0.01574285410705123</v>
      </c>
      <c r="H48">
        <v>0.08</v>
      </c>
      <c r="I48">
        <v>0.08055585304633706</v>
      </c>
      <c r="J48" t="s">
        <v>761</v>
      </c>
      <c r="K48" t="s">
        <v>762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0.265530259695687</v>
      </c>
      <c r="R48" t="s">
        <v>765</v>
      </c>
      <c r="S48" t="s">
        <v>772</v>
      </c>
      <c r="T48">
        <v>44456.778657</v>
      </c>
      <c r="U48" s="2">
        <v>44423</v>
      </c>
      <c r="V48" t="s">
        <v>788</v>
      </c>
    </row>
    <row r="49" spans="1:22">
      <c r="A49" s="1" t="s">
        <v>69</v>
      </c>
      <c r="B49">
        <f>HYPERLINK("https://www.suredividend.com/sure-analysis-JNJ/","Johnson &amp; Johnson")</f>
        <v>0</v>
      </c>
      <c r="C49">
        <v>165.13</v>
      </c>
      <c r="D49">
        <v>162</v>
      </c>
      <c r="E49">
        <v>1.019320987654321</v>
      </c>
      <c r="F49">
        <v>0.02567673953854539</v>
      </c>
      <c r="G49">
        <v>-0.003820026512449282</v>
      </c>
      <c r="H49">
        <v>0.06</v>
      </c>
      <c r="I49">
        <v>0.07954238592064877</v>
      </c>
      <c r="J49" t="s">
        <v>761</v>
      </c>
      <c r="K49" t="s">
        <v>761</v>
      </c>
      <c r="L49">
        <v>9.550000000000001</v>
      </c>
      <c r="M49">
        <v>4.24</v>
      </c>
      <c r="N49">
        <v>0.443979057591623</v>
      </c>
      <c r="O49">
        <v>59</v>
      </c>
      <c r="P49">
        <v>0.05984764821935884</v>
      </c>
      <c r="Q49">
        <v>0.170601333772622</v>
      </c>
      <c r="R49" t="s">
        <v>765</v>
      </c>
      <c r="S49" t="s">
        <v>770</v>
      </c>
      <c r="T49">
        <v>433990.997687</v>
      </c>
      <c r="U49" s="2">
        <v>44399</v>
      </c>
      <c r="V49" t="s">
        <v>781</v>
      </c>
    </row>
    <row r="50" spans="1:22">
      <c r="A50" s="1" t="s">
        <v>70</v>
      </c>
      <c r="B50">
        <f>HYPERLINK("https://www.suredividend.com/sure-analysis-RE/","Everest Re Group Ltd")</f>
        <v>0</v>
      </c>
      <c r="C50">
        <v>255.97</v>
      </c>
      <c r="D50">
        <v>306</v>
      </c>
      <c r="E50">
        <v>0.8365032679738562</v>
      </c>
      <c r="F50">
        <v>0.02422158846739852</v>
      </c>
      <c r="G50">
        <v>0.03635004741009662</v>
      </c>
      <c r="H50">
        <v>0.02</v>
      </c>
      <c r="I50">
        <v>0.07868068254293514</v>
      </c>
      <c r="J50" t="s">
        <v>761</v>
      </c>
      <c r="K50" t="s">
        <v>762</v>
      </c>
      <c r="L50">
        <v>34</v>
      </c>
      <c r="M50">
        <v>6.2</v>
      </c>
      <c r="N50">
        <v>0.1823529411764706</v>
      </c>
      <c r="O50">
        <v>8</v>
      </c>
      <c r="P50">
        <v>0.04992181337625223</v>
      </c>
      <c r="Q50">
        <v>0.327006628273841</v>
      </c>
      <c r="R50" t="s">
        <v>765</v>
      </c>
      <c r="S50" t="s">
        <v>773</v>
      </c>
      <c r="T50">
        <v>10128.301825</v>
      </c>
      <c r="U50" s="2">
        <v>44417</v>
      </c>
      <c r="V50" t="s">
        <v>783</v>
      </c>
    </row>
    <row r="51" spans="1:22">
      <c r="A51" s="1" t="s">
        <v>71</v>
      </c>
      <c r="B51">
        <f>HYPERLINK("https://www.suredividend.com/sure-analysis-SCL/","Stepan Co.")</f>
        <v>0</v>
      </c>
      <c r="C51">
        <v>112.16</v>
      </c>
      <c r="D51">
        <v>122</v>
      </c>
      <c r="E51">
        <v>0.9193442622950819</v>
      </c>
      <c r="F51">
        <v>0.01087731811697575</v>
      </c>
      <c r="G51">
        <v>0.01696115868749648</v>
      </c>
      <c r="H51">
        <v>0.05</v>
      </c>
      <c r="I51">
        <v>0.07819747993369197</v>
      </c>
      <c r="J51" t="s">
        <v>761</v>
      </c>
      <c r="K51" t="s">
        <v>762</v>
      </c>
      <c r="L51">
        <v>6.85</v>
      </c>
      <c r="M51">
        <v>1.22</v>
      </c>
      <c r="N51">
        <v>0.1781021897810219</v>
      </c>
      <c r="O51">
        <v>53</v>
      </c>
      <c r="P51">
        <v>0.07968890878531787</v>
      </c>
      <c r="Q51">
        <v>0.051560765474102</v>
      </c>
      <c r="R51" t="s">
        <v>765</v>
      </c>
      <c r="S51" t="s">
        <v>771</v>
      </c>
      <c r="T51">
        <v>2494.159888</v>
      </c>
      <c r="U51" s="2">
        <v>44408</v>
      </c>
      <c r="V51" t="s">
        <v>785</v>
      </c>
    </row>
    <row r="52" spans="1:22">
      <c r="A52" s="1" t="s">
        <v>72</v>
      </c>
      <c r="B52">
        <f>HYPERLINK("https://www.suredividend.com/sure-analysis-NIDB/","Northeast Indiana Bancorp Inc.")</f>
        <v>0</v>
      </c>
      <c r="C52">
        <v>44.05</v>
      </c>
      <c r="D52">
        <v>50</v>
      </c>
      <c r="E52">
        <v>0.8809999999999999</v>
      </c>
      <c r="F52">
        <v>0.02542565266742339</v>
      </c>
      <c r="G52">
        <v>0.02566330549829687</v>
      </c>
      <c r="H52">
        <v>0.03</v>
      </c>
      <c r="I52">
        <v>0.07788618739029518</v>
      </c>
      <c r="J52" t="s">
        <v>761</v>
      </c>
      <c r="K52" t="s">
        <v>761</v>
      </c>
      <c r="L52">
        <v>5.5</v>
      </c>
      <c r="M52">
        <v>1.12</v>
      </c>
      <c r="N52">
        <v>0.2036363636363636</v>
      </c>
      <c r="O52">
        <v>26</v>
      </c>
      <c r="P52">
        <v>0.03025579475561258</v>
      </c>
      <c r="Q52">
        <v>0.355384615384615</v>
      </c>
      <c r="R52" t="s">
        <v>765</v>
      </c>
      <c r="S52" t="s">
        <v>773</v>
      </c>
      <c r="T52">
        <v>52.991489</v>
      </c>
      <c r="U52" s="2">
        <v>44393</v>
      </c>
      <c r="V52" t="s">
        <v>781</v>
      </c>
    </row>
    <row r="53" spans="1:22">
      <c r="A53" s="1" t="s">
        <v>73</v>
      </c>
      <c r="B53">
        <f>HYPERLINK("https://www.suredividend.com/sure-analysis-AMP/","Ameriprise Financial Inc")</f>
        <v>0</v>
      </c>
      <c r="C53">
        <v>271.235</v>
      </c>
      <c r="D53">
        <v>247</v>
      </c>
      <c r="E53">
        <v>1.098117408906883</v>
      </c>
      <c r="F53">
        <v>0.01666451601010194</v>
      </c>
      <c r="G53">
        <v>-0.0185453326380719</v>
      </c>
      <c r="H53">
        <v>0.08</v>
      </c>
      <c r="I53">
        <v>0.07619318041811729</v>
      </c>
      <c r="J53" t="s">
        <v>761</v>
      </c>
      <c r="K53" t="s">
        <v>762</v>
      </c>
      <c r="L53">
        <v>21.49</v>
      </c>
      <c r="M53">
        <v>4.52</v>
      </c>
      <c r="N53">
        <v>0.2103303862261517</v>
      </c>
      <c r="O53">
        <v>17</v>
      </c>
      <c r="P53">
        <v>0.07995566992594827</v>
      </c>
      <c r="Q53">
        <v>0.8784016433120481</v>
      </c>
      <c r="R53" t="s">
        <v>765</v>
      </c>
      <c r="S53" t="s">
        <v>773</v>
      </c>
      <c r="T53">
        <v>30455.474632</v>
      </c>
      <c r="U53" s="2">
        <v>44404</v>
      </c>
      <c r="V53" t="s">
        <v>781</v>
      </c>
    </row>
    <row r="54" spans="1:22">
      <c r="A54" s="1" t="s">
        <v>74</v>
      </c>
      <c r="B54">
        <f>HYPERLINK("https://www.suredividend.com/sure-analysis-MCK/","Mckesson Corporation")</f>
        <v>0</v>
      </c>
      <c r="C54">
        <v>203.98</v>
      </c>
      <c r="D54">
        <v>244</v>
      </c>
      <c r="E54">
        <v>0.835983606557377</v>
      </c>
      <c r="F54">
        <v>0.009216589861751152</v>
      </c>
      <c r="G54">
        <v>0.03647885789641281</v>
      </c>
      <c r="H54">
        <v>0.03</v>
      </c>
      <c r="I54">
        <v>0.07617229124745695</v>
      </c>
      <c r="J54" t="s">
        <v>761</v>
      </c>
      <c r="K54" t="s">
        <v>358</v>
      </c>
      <c r="L54">
        <v>20.3</v>
      </c>
      <c r="M54">
        <v>1.88</v>
      </c>
      <c r="N54">
        <v>0.09261083743842363</v>
      </c>
      <c r="O54">
        <v>14</v>
      </c>
      <c r="P54">
        <v>0.0702598056972048</v>
      </c>
      <c r="Q54">
        <v>0.39083413678457</v>
      </c>
      <c r="R54" t="s">
        <v>765</v>
      </c>
      <c r="S54" t="s">
        <v>770</v>
      </c>
      <c r="T54">
        <v>31349.44205</v>
      </c>
      <c r="U54" s="2">
        <v>44428</v>
      </c>
      <c r="V54" t="s">
        <v>785</v>
      </c>
    </row>
    <row r="55" spans="1:22">
      <c r="A55" s="1" t="s">
        <v>75</v>
      </c>
      <c r="B55">
        <f>HYPERLINK("https://www.suredividend.com/sure-analysis-TSN/","Tyson Foods, Inc.")</f>
        <v>0</v>
      </c>
      <c r="C55">
        <v>76.53</v>
      </c>
      <c r="D55">
        <v>86</v>
      </c>
      <c r="E55">
        <v>0.8898837209302326</v>
      </c>
      <c r="F55">
        <v>0.02325885273748857</v>
      </c>
      <c r="G55">
        <v>0.02360723665529463</v>
      </c>
      <c r="H55">
        <v>0.03</v>
      </c>
      <c r="I55">
        <v>0.0758971849360206</v>
      </c>
      <c r="J55" t="s">
        <v>761</v>
      </c>
      <c r="K55" t="s">
        <v>762</v>
      </c>
      <c r="L55">
        <v>7.2</v>
      </c>
      <c r="M55">
        <v>1.78</v>
      </c>
      <c r="N55">
        <v>0.2472222222222222</v>
      </c>
      <c r="O55">
        <v>10</v>
      </c>
      <c r="P55">
        <v>0.05981824312960904</v>
      </c>
      <c r="Q55">
        <v>0.366532784398077</v>
      </c>
      <c r="R55" t="s">
        <v>765</v>
      </c>
      <c r="S55" t="s">
        <v>774</v>
      </c>
      <c r="T55">
        <v>27714.39096</v>
      </c>
      <c r="U55" s="2">
        <v>44418</v>
      </c>
      <c r="V55" t="s">
        <v>784</v>
      </c>
    </row>
    <row r="56" spans="1:22">
      <c r="A56" s="1" t="s">
        <v>76</v>
      </c>
      <c r="B56">
        <f>HYPERLINK("https://www.suredividend.com/sure-analysis-FMS/","Fresenius Medical Care AG &amp; Co. KGaA")</f>
        <v>0</v>
      </c>
      <c r="C56">
        <v>35.91</v>
      </c>
      <c r="D56">
        <v>35</v>
      </c>
      <c r="E56">
        <v>1.026</v>
      </c>
      <c r="F56">
        <v>0.0228348649401281</v>
      </c>
      <c r="G56">
        <v>-0.005120395204030626</v>
      </c>
      <c r="H56">
        <v>0.06</v>
      </c>
      <c r="I56">
        <v>0.07579784392675171</v>
      </c>
      <c r="J56" t="s">
        <v>761</v>
      </c>
      <c r="K56" t="s">
        <v>762</v>
      </c>
      <c r="L56">
        <v>2.17</v>
      </c>
      <c r="M56">
        <v>0.82</v>
      </c>
      <c r="N56">
        <v>0.3778801843317972</v>
      </c>
      <c r="O56">
        <v>24</v>
      </c>
      <c r="P56">
        <v>0.06051243834129849</v>
      </c>
      <c r="Q56">
        <v>-0.115510575952328</v>
      </c>
      <c r="R56" t="s">
        <v>765</v>
      </c>
      <c r="S56" t="s">
        <v>770</v>
      </c>
      <c r="T56">
        <v>21047.646131</v>
      </c>
      <c r="U56" s="2">
        <v>44409</v>
      </c>
      <c r="V56" t="s">
        <v>781</v>
      </c>
    </row>
    <row r="57" spans="1:22">
      <c r="A57" s="1" t="s">
        <v>77</v>
      </c>
      <c r="B57">
        <f>HYPERLINK("https://www.suredividend.com/sure-analysis-WMT/","Walmart Inc")</f>
        <v>0</v>
      </c>
      <c r="C57">
        <v>143.555</v>
      </c>
      <c r="D57">
        <v>151</v>
      </c>
      <c r="E57">
        <v>0.9506953642384106</v>
      </c>
      <c r="F57">
        <v>0.0153251367071854</v>
      </c>
      <c r="G57">
        <v>0.01016362224704825</v>
      </c>
      <c r="H57">
        <v>0.05</v>
      </c>
      <c r="I57">
        <v>0.0743702989598054</v>
      </c>
      <c r="J57" t="s">
        <v>761</v>
      </c>
      <c r="K57" t="s">
        <v>762</v>
      </c>
      <c r="L57">
        <v>6.3</v>
      </c>
      <c r="M57">
        <v>2.2</v>
      </c>
      <c r="N57">
        <v>0.3492063492063492</v>
      </c>
      <c r="O57">
        <v>48</v>
      </c>
      <c r="P57">
        <v>0.05016303610438722</v>
      </c>
      <c r="Q57">
        <v>0.06615747198881601</v>
      </c>
      <c r="R57" t="s">
        <v>765</v>
      </c>
      <c r="S57" t="s">
        <v>774</v>
      </c>
      <c r="T57">
        <v>398113.83319</v>
      </c>
      <c r="U57" s="2">
        <v>44428</v>
      </c>
      <c r="V57" t="s">
        <v>785</v>
      </c>
    </row>
    <row r="58" spans="1:22">
      <c r="A58" s="1" t="s">
        <v>78</v>
      </c>
      <c r="B58">
        <f>HYPERLINK("https://www.suredividend.com/sure-analysis-VFC/","VF Corp.")</f>
        <v>0</v>
      </c>
      <c r="C58">
        <v>67.58499999999999</v>
      </c>
      <c r="D58">
        <v>61</v>
      </c>
      <c r="E58">
        <v>1.107950819672131</v>
      </c>
      <c r="F58">
        <v>0.02900051786639047</v>
      </c>
      <c r="G58">
        <v>-0.02029369416118643</v>
      </c>
      <c r="H58">
        <v>0.07000000000000001</v>
      </c>
      <c r="I58">
        <v>0.07401445704768084</v>
      </c>
      <c r="J58" t="s">
        <v>761</v>
      </c>
      <c r="K58" t="s">
        <v>762</v>
      </c>
      <c r="L58">
        <v>3.2</v>
      </c>
      <c r="M58">
        <v>1.96</v>
      </c>
      <c r="N58">
        <v>0.6124999999999999</v>
      </c>
      <c r="O58">
        <v>48</v>
      </c>
      <c r="P58">
        <v>0.03959498820755258</v>
      </c>
      <c r="Q58">
        <v>-0.000467417997818</v>
      </c>
      <c r="R58" t="s">
        <v>765</v>
      </c>
      <c r="S58" t="s">
        <v>775</v>
      </c>
      <c r="T58">
        <v>26429.11444</v>
      </c>
      <c r="U58" s="2">
        <v>44415</v>
      </c>
      <c r="V58" t="s">
        <v>784</v>
      </c>
    </row>
    <row r="59" spans="1:22">
      <c r="A59" s="1" t="s">
        <v>79</v>
      </c>
      <c r="B59">
        <f>HYPERLINK("https://www.suredividend.com/sure-analysis-AFL/","Aflac Inc.")</f>
        <v>0</v>
      </c>
      <c r="C59">
        <v>52.92</v>
      </c>
      <c r="D59">
        <v>56</v>
      </c>
      <c r="E59">
        <v>0.9450000000000001</v>
      </c>
      <c r="F59">
        <v>0.02494331065759637</v>
      </c>
      <c r="G59">
        <v>0.01137831645760157</v>
      </c>
      <c r="H59">
        <v>0.04</v>
      </c>
      <c r="I59">
        <v>0.0738827894077847</v>
      </c>
      <c r="J59" t="s">
        <v>761</v>
      </c>
      <c r="K59" t="s">
        <v>761</v>
      </c>
      <c r="L59">
        <v>5.6</v>
      </c>
      <c r="M59">
        <v>1.32</v>
      </c>
      <c r="N59">
        <v>0.2357142857142857</v>
      </c>
      <c r="O59">
        <v>39</v>
      </c>
      <c r="P59">
        <v>0.04051989624422681</v>
      </c>
      <c r="Q59">
        <v>0.497691571018138</v>
      </c>
      <c r="R59" t="s">
        <v>765</v>
      </c>
      <c r="S59" t="s">
        <v>773</v>
      </c>
      <c r="T59">
        <v>35140.139274</v>
      </c>
      <c r="U59" s="2">
        <v>44411</v>
      </c>
      <c r="V59" t="s">
        <v>784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116.62</v>
      </c>
      <c r="D60">
        <v>103</v>
      </c>
      <c r="E60">
        <v>1.132233009708738</v>
      </c>
      <c r="F60">
        <v>0.02160864345738295</v>
      </c>
      <c r="G60">
        <v>-0.02453242566042591</v>
      </c>
      <c r="H60">
        <v>0.08</v>
      </c>
      <c r="I60">
        <v>0.07313035062372353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0.586692066129706</v>
      </c>
      <c r="R60" t="s">
        <v>765</v>
      </c>
      <c r="S60" t="s">
        <v>773</v>
      </c>
      <c r="T60">
        <v>18714.944081</v>
      </c>
      <c r="U60" s="2">
        <v>44409</v>
      </c>
      <c r="V60" t="s">
        <v>786</v>
      </c>
    </row>
    <row r="61" spans="1:22">
      <c r="A61" s="1" t="s">
        <v>81</v>
      </c>
      <c r="B61">
        <f>HYPERLINK("https://www.suredividend.com/sure-analysis-ADP/","Automatic Data Processing Inc.")</f>
        <v>0</v>
      </c>
      <c r="C61">
        <v>202.55</v>
      </c>
      <c r="D61">
        <v>180</v>
      </c>
      <c r="E61">
        <v>1.125277777777778</v>
      </c>
      <c r="F61">
        <v>0.0183658355961491</v>
      </c>
      <c r="G61">
        <v>-0.0233295420159122</v>
      </c>
      <c r="H61">
        <v>0.08</v>
      </c>
      <c r="I61">
        <v>0.07297622516005564</v>
      </c>
      <c r="J61" t="s">
        <v>761</v>
      </c>
      <c r="K61" t="s">
        <v>762</v>
      </c>
      <c r="L61">
        <v>6.65</v>
      </c>
      <c r="M61">
        <v>3.72</v>
      </c>
      <c r="N61">
        <v>0.5593984962406015</v>
      </c>
      <c r="O61">
        <v>46</v>
      </c>
      <c r="P61">
        <v>0.08016195651539393</v>
      </c>
      <c r="Q61">
        <v>0.5957383588117411</v>
      </c>
      <c r="R61" t="s">
        <v>765</v>
      </c>
      <c r="S61" t="s">
        <v>772</v>
      </c>
      <c r="T61">
        <v>85204.19317300001</v>
      </c>
      <c r="U61" s="2">
        <v>44408</v>
      </c>
      <c r="V61" t="s">
        <v>785</v>
      </c>
    </row>
    <row r="62" spans="1:22">
      <c r="A62" s="1" t="s">
        <v>82</v>
      </c>
      <c r="B62">
        <f>HYPERLINK("https://www.suredividend.com/sure-analysis-TMO/","Thermo Fisher Scientific Inc.")</f>
        <v>0</v>
      </c>
      <c r="C62">
        <v>610.9400000000001</v>
      </c>
      <c r="D62">
        <v>530</v>
      </c>
      <c r="E62">
        <v>1.152716981132076</v>
      </c>
      <c r="F62">
        <v>0.001702294824369005</v>
      </c>
      <c r="G62">
        <v>-0.02802417830082793</v>
      </c>
      <c r="H62">
        <v>0.1</v>
      </c>
      <c r="I62">
        <v>0.07118482344344357</v>
      </c>
      <c r="J62" t="s">
        <v>761</v>
      </c>
      <c r="K62" t="s">
        <v>498</v>
      </c>
      <c r="L62">
        <v>22.07</v>
      </c>
      <c r="M62">
        <v>1.04</v>
      </c>
      <c r="N62">
        <v>0.04712279111916629</v>
      </c>
      <c r="O62">
        <v>4</v>
      </c>
      <c r="P62">
        <v>0.1498007546802556</v>
      </c>
      <c r="Q62">
        <v>0.448543977883763</v>
      </c>
      <c r="R62" t="s">
        <v>765</v>
      </c>
      <c r="S62" t="s">
        <v>770</v>
      </c>
      <c r="T62">
        <v>239289.176939</v>
      </c>
      <c r="U62" s="2">
        <v>44405</v>
      </c>
      <c r="V62" t="s">
        <v>780</v>
      </c>
    </row>
    <row r="63" spans="1:22">
      <c r="A63" s="1" t="s">
        <v>83</v>
      </c>
      <c r="B63">
        <f>HYPERLINK("https://www.suredividend.com/sure-analysis-INTU/","Intuit Inc")</f>
        <v>0</v>
      </c>
      <c r="C63">
        <v>574.1900000000001</v>
      </c>
      <c r="D63">
        <v>446</v>
      </c>
      <c r="E63">
        <v>1.287421524663677</v>
      </c>
      <c r="F63">
        <v>0.004737107925947857</v>
      </c>
      <c r="G63">
        <v>-0.04927295826490219</v>
      </c>
      <c r="H63">
        <v>0.12</v>
      </c>
      <c r="I63">
        <v>0.07000457839375973</v>
      </c>
      <c r="J63" t="s">
        <v>761</v>
      </c>
      <c r="K63" t="s">
        <v>498</v>
      </c>
      <c r="L63">
        <v>11.15</v>
      </c>
      <c r="M63">
        <v>2.72</v>
      </c>
      <c r="N63">
        <v>0.2439461883408072</v>
      </c>
      <c r="O63">
        <v>10</v>
      </c>
      <c r="P63">
        <v>0.1198331558543506</v>
      </c>
      <c r="Q63">
        <v>0.9081432774774181</v>
      </c>
      <c r="R63" t="s">
        <v>765</v>
      </c>
      <c r="S63" t="s">
        <v>777</v>
      </c>
      <c r="T63">
        <v>158225.357031</v>
      </c>
      <c r="U63" s="2">
        <v>44434</v>
      </c>
      <c r="V63" t="s">
        <v>780</v>
      </c>
    </row>
    <row r="64" spans="1:22">
      <c r="A64" s="1" t="s">
        <v>84</v>
      </c>
      <c r="B64">
        <f>HYPERLINK("https://www.suredividend.com/sure-analysis-BEN/","Franklin Resources, Inc.")</f>
        <v>0</v>
      </c>
      <c r="C64">
        <v>31.54</v>
      </c>
      <c r="D64">
        <v>31</v>
      </c>
      <c r="E64">
        <v>1.01741935483871</v>
      </c>
      <c r="F64">
        <v>0.03551046290424858</v>
      </c>
      <c r="G64">
        <v>-0.003447917643377041</v>
      </c>
      <c r="H64">
        <v>0.04</v>
      </c>
      <c r="I64">
        <v>0.06893909252538655</v>
      </c>
      <c r="J64" t="s">
        <v>761</v>
      </c>
      <c r="K64" t="s">
        <v>761</v>
      </c>
      <c r="L64">
        <v>3.1</v>
      </c>
      <c r="M64">
        <v>1.12</v>
      </c>
      <c r="N64">
        <v>0.3612903225806452</v>
      </c>
      <c r="O64">
        <v>41</v>
      </c>
      <c r="P64">
        <v>0.03959498820755258</v>
      </c>
      <c r="Q64">
        <v>0.671365605896679</v>
      </c>
      <c r="R64" t="s">
        <v>765</v>
      </c>
      <c r="S64" t="s">
        <v>773</v>
      </c>
      <c r="T64">
        <v>15769.50721</v>
      </c>
      <c r="U64" s="2">
        <v>44415</v>
      </c>
      <c r="V64" t="s">
        <v>784</v>
      </c>
    </row>
    <row r="65" spans="1:22">
      <c r="A65" s="1" t="s">
        <v>85</v>
      </c>
      <c r="B65">
        <f>HYPERLINK("https://www.suredividend.com/sure-analysis-FFMR/","First Farmers Financial Corp")</f>
        <v>0</v>
      </c>
      <c r="C65">
        <v>47</v>
      </c>
      <c r="D65">
        <v>45</v>
      </c>
      <c r="E65">
        <v>1.044444444444445</v>
      </c>
      <c r="F65">
        <v>0.02808510638297872</v>
      </c>
      <c r="G65">
        <v>-0.008659312688623633</v>
      </c>
      <c r="H65">
        <v>0.05</v>
      </c>
      <c r="I65">
        <v>0.06880043954080062</v>
      </c>
      <c r="J65" t="s">
        <v>761</v>
      </c>
      <c r="K65" t="s">
        <v>761</v>
      </c>
      <c r="L65">
        <v>4.5</v>
      </c>
      <c r="M65">
        <v>1.32</v>
      </c>
      <c r="N65">
        <v>0.2933333333333333</v>
      </c>
      <c r="O65">
        <v>30</v>
      </c>
      <c r="P65">
        <v>0.0698417929634616</v>
      </c>
      <c r="Q65">
        <v>0.062427805770113</v>
      </c>
      <c r="R65" t="s">
        <v>765</v>
      </c>
      <c r="S65" t="s">
        <v>773</v>
      </c>
      <c r="T65">
        <v>331.315737</v>
      </c>
      <c r="U65" s="2">
        <v>44253</v>
      </c>
      <c r="V65" t="s">
        <v>785</v>
      </c>
    </row>
    <row r="66" spans="1:22">
      <c r="A66" s="1" t="s">
        <v>86</v>
      </c>
      <c r="B66">
        <f>HYPERLINK("https://www.suredividend.com/sure-analysis-RPM/","RPM International, Inc.")</f>
        <v>0</v>
      </c>
      <c r="C66">
        <v>80.62</v>
      </c>
      <c r="D66">
        <v>81</v>
      </c>
      <c r="E66">
        <v>0.9953086419753087</v>
      </c>
      <c r="F66">
        <v>0.01885388241131233</v>
      </c>
      <c r="G66">
        <v>0.0009409217861067187</v>
      </c>
      <c r="H66">
        <v>0.05</v>
      </c>
      <c r="I66">
        <v>0.06833721320883468</v>
      </c>
      <c r="J66" t="s">
        <v>761</v>
      </c>
      <c r="K66" t="s">
        <v>762</v>
      </c>
      <c r="L66">
        <v>4.48</v>
      </c>
      <c r="M66">
        <v>1.52</v>
      </c>
      <c r="N66">
        <v>0.3392857142857142</v>
      </c>
      <c r="O66">
        <v>47</v>
      </c>
      <c r="P66">
        <v>0.05000563166277994</v>
      </c>
      <c r="Q66">
        <v>0.02092858638582</v>
      </c>
      <c r="R66" t="s">
        <v>765</v>
      </c>
      <c r="S66" t="s">
        <v>771</v>
      </c>
      <c r="T66">
        <v>10312.996813</v>
      </c>
      <c r="U66" s="2">
        <v>44403</v>
      </c>
      <c r="V66" t="s">
        <v>781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46.96</v>
      </c>
      <c r="D67">
        <v>50.8</v>
      </c>
      <c r="E67">
        <v>0.9244094488188977</v>
      </c>
      <c r="F67">
        <v>0.04088586030664395</v>
      </c>
      <c r="G67">
        <v>0.01584424558305519</v>
      </c>
      <c r="H67">
        <v>0.016</v>
      </c>
      <c r="I67">
        <v>0.06817757837008687</v>
      </c>
      <c r="J67" t="s">
        <v>761</v>
      </c>
      <c r="K67" t="s">
        <v>761</v>
      </c>
      <c r="L67">
        <v>2.54</v>
      </c>
      <c r="M67">
        <v>1.92</v>
      </c>
      <c r="N67">
        <v>0.7559055118110236</v>
      </c>
      <c r="O67">
        <v>65</v>
      </c>
      <c r="P67">
        <v>0.02383625553960966</v>
      </c>
      <c r="Q67">
        <v>0.123571279697378</v>
      </c>
      <c r="R67" t="s">
        <v>765</v>
      </c>
      <c r="S67" t="s">
        <v>776</v>
      </c>
      <c r="T67">
        <v>1438.550662</v>
      </c>
      <c r="U67" s="2">
        <v>44421</v>
      </c>
      <c r="V67" t="s">
        <v>790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76.78</v>
      </c>
      <c r="D68">
        <v>75</v>
      </c>
      <c r="E68">
        <v>1.023733333333333</v>
      </c>
      <c r="F68">
        <v>0.02344360510549622</v>
      </c>
      <c r="G68">
        <v>-0.004680228644032836</v>
      </c>
      <c r="H68">
        <v>0.05</v>
      </c>
      <c r="I68">
        <v>0.06697070542006567</v>
      </c>
      <c r="J68" t="s">
        <v>761</v>
      </c>
      <c r="K68" t="s">
        <v>762</v>
      </c>
      <c r="L68">
        <v>3.25</v>
      </c>
      <c r="M68">
        <v>1.8</v>
      </c>
      <c r="N68">
        <v>0.5538461538461539</v>
      </c>
      <c r="O68">
        <v>58</v>
      </c>
      <c r="P68">
        <v>0.05024607263868264</v>
      </c>
      <c r="Q68">
        <v>0.043116478845837</v>
      </c>
      <c r="R68" t="s">
        <v>765</v>
      </c>
      <c r="S68" t="s">
        <v>774</v>
      </c>
      <c r="T68">
        <v>64672.179278</v>
      </c>
      <c r="U68" s="2">
        <v>44415</v>
      </c>
      <c r="V68" t="s">
        <v>785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60.6</v>
      </c>
      <c r="D69">
        <v>57</v>
      </c>
      <c r="E69">
        <v>1.063157894736842</v>
      </c>
      <c r="F69">
        <v>0.0297029702970297</v>
      </c>
      <c r="G69">
        <v>-0.01217401476184621</v>
      </c>
      <c r="H69">
        <v>0.05</v>
      </c>
      <c r="I69">
        <v>0.06544043612267325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0.282441586117664</v>
      </c>
      <c r="R69" t="s">
        <v>765</v>
      </c>
      <c r="S69" t="s">
        <v>775</v>
      </c>
      <c r="T69">
        <v>5964.388009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217.52</v>
      </c>
      <c r="D70">
        <v>178</v>
      </c>
      <c r="E70">
        <v>1.222022471910112</v>
      </c>
      <c r="F70">
        <v>0.007447591026112542</v>
      </c>
      <c r="G70">
        <v>-0.03930802799834776</v>
      </c>
      <c r="H70">
        <v>0.1</v>
      </c>
      <c r="I70">
        <v>0.06443507407296489</v>
      </c>
      <c r="J70" t="s">
        <v>761</v>
      </c>
      <c r="K70" t="s">
        <v>358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0.07720654434054601</v>
      </c>
      <c r="R70" t="s">
        <v>765</v>
      </c>
      <c r="S70" t="s">
        <v>774</v>
      </c>
      <c r="T70">
        <v>50945.619202</v>
      </c>
      <c r="U70" s="2">
        <v>44439</v>
      </c>
      <c r="V70" t="s">
        <v>788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42.71</v>
      </c>
      <c r="D71">
        <v>47</v>
      </c>
      <c r="E71">
        <v>0.9087234042553192</v>
      </c>
      <c r="F71">
        <v>0.03231093420744556</v>
      </c>
      <c r="G71">
        <v>0.01932730351804035</v>
      </c>
      <c r="H71">
        <v>0.016</v>
      </c>
      <c r="I71">
        <v>0.06361998701463545</v>
      </c>
      <c r="J71" t="s">
        <v>761</v>
      </c>
      <c r="K71" t="s">
        <v>761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0.385086531373102</v>
      </c>
      <c r="R71" t="s">
        <v>765</v>
      </c>
      <c r="S71" t="s">
        <v>776</v>
      </c>
      <c r="T71">
        <v>8917.982614</v>
      </c>
      <c r="U71" s="2">
        <v>44420</v>
      </c>
      <c r="V71" t="s">
        <v>790</v>
      </c>
    </row>
    <row r="72" spans="1:22">
      <c r="A72" s="1" t="s">
        <v>92</v>
      </c>
      <c r="B72">
        <f>HYPERLINK("https://www.suredividend.com/sure-analysis-AIZ/","Assurant Inc")</f>
        <v>0</v>
      </c>
      <c r="C72">
        <v>161.39</v>
      </c>
      <c r="D72">
        <v>138</v>
      </c>
      <c r="E72">
        <v>1.169492753623188</v>
      </c>
      <c r="F72">
        <v>0.0163578908234711</v>
      </c>
      <c r="G72">
        <v>-0.0308288159600959</v>
      </c>
      <c r="H72">
        <v>0.08</v>
      </c>
      <c r="I72">
        <v>0.06268781347716512</v>
      </c>
      <c r="J72" t="s">
        <v>761</v>
      </c>
      <c r="K72" t="s">
        <v>358</v>
      </c>
      <c r="L72">
        <v>10</v>
      </c>
      <c r="M72">
        <v>2.64</v>
      </c>
      <c r="N72">
        <v>0.264</v>
      </c>
      <c r="O72">
        <v>16</v>
      </c>
      <c r="P72">
        <v>0.06399531281508364</v>
      </c>
      <c r="Q72">
        <v>0.365153917006631</v>
      </c>
      <c r="R72" t="s">
        <v>765</v>
      </c>
      <c r="S72" t="s">
        <v>773</v>
      </c>
      <c r="T72">
        <v>9405.470112000001</v>
      </c>
      <c r="U72" s="2">
        <v>44432</v>
      </c>
      <c r="V72" t="s">
        <v>787</v>
      </c>
    </row>
    <row r="73" spans="1:22">
      <c r="A73" s="1" t="s">
        <v>93</v>
      </c>
      <c r="B73">
        <f>HYPERLINK("https://www.suredividend.com/sure-analysis-TRV/","Travelers Companies Inc.")</f>
        <v>0</v>
      </c>
      <c r="C73">
        <v>156.57</v>
      </c>
      <c r="D73">
        <v>142</v>
      </c>
      <c r="E73">
        <v>1.102605633802817</v>
      </c>
      <c r="F73">
        <v>0.02248195695216197</v>
      </c>
      <c r="G73">
        <v>-0.01934565126833387</v>
      </c>
      <c r="H73">
        <v>0.06</v>
      </c>
      <c r="I73">
        <v>0.06218652070264286</v>
      </c>
      <c r="J73" t="s">
        <v>761</v>
      </c>
      <c r="K73" t="s">
        <v>762</v>
      </c>
      <c r="L73">
        <v>11.85</v>
      </c>
      <c r="M73">
        <v>3.52</v>
      </c>
      <c r="N73">
        <v>0.2970464135021097</v>
      </c>
      <c r="O73">
        <v>16</v>
      </c>
      <c r="P73">
        <v>0.0701307832252307</v>
      </c>
      <c r="Q73">
        <v>0.485160767082395</v>
      </c>
      <c r="R73" t="s">
        <v>765</v>
      </c>
      <c r="S73" t="s">
        <v>773</v>
      </c>
      <c r="T73">
        <v>38925.882258</v>
      </c>
      <c r="U73" s="2">
        <v>44398</v>
      </c>
      <c r="V73" t="s">
        <v>785</v>
      </c>
    </row>
    <row r="74" spans="1:22">
      <c r="A74" s="1" t="s">
        <v>94</v>
      </c>
      <c r="B74">
        <f>HYPERLINK("https://www.suredividend.com/sure-analysis-CSX/","CSX Corp.")</f>
        <v>0</v>
      </c>
      <c r="C74">
        <v>30.41</v>
      </c>
      <c r="D74">
        <v>26</v>
      </c>
      <c r="E74">
        <v>1.169615384615385</v>
      </c>
      <c r="F74">
        <v>0.01216705031239724</v>
      </c>
      <c r="G74">
        <v>-0.03084913980505233</v>
      </c>
      <c r="H74">
        <v>0.08</v>
      </c>
      <c r="I74">
        <v>0.06029003491785367</v>
      </c>
      <c r="J74" t="s">
        <v>761</v>
      </c>
      <c r="K74" t="s">
        <v>358</v>
      </c>
      <c r="L74">
        <v>1.45</v>
      </c>
      <c r="M74">
        <v>0.37</v>
      </c>
      <c r="N74">
        <v>0.2551724137931035</v>
      </c>
      <c r="O74">
        <v>16</v>
      </c>
      <c r="P74">
        <v>0.1087611317268407</v>
      </c>
      <c r="Q74">
        <v>0.194911835204214</v>
      </c>
      <c r="R74" t="s">
        <v>765</v>
      </c>
      <c r="S74" t="s">
        <v>772</v>
      </c>
      <c r="T74">
        <v>68108.32144099999</v>
      </c>
      <c r="U74" s="2">
        <v>44399</v>
      </c>
      <c r="V74" t="s">
        <v>785</v>
      </c>
    </row>
    <row r="75" spans="1:22">
      <c r="A75" s="1" t="s">
        <v>95</v>
      </c>
      <c r="B75">
        <f>HYPERLINK("https://www.suredividend.com/sure-analysis-ABC/","Amerisource Bergen Corp.")</f>
        <v>0</v>
      </c>
      <c r="C75">
        <v>122.88</v>
      </c>
      <c r="D75">
        <v>120</v>
      </c>
      <c r="E75">
        <v>1.024</v>
      </c>
      <c r="F75">
        <v>0.01432291666666667</v>
      </c>
      <c r="G75">
        <v>-0.004732073616256827</v>
      </c>
      <c r="H75">
        <v>0.05</v>
      </c>
      <c r="I75">
        <v>0.05952121805159161</v>
      </c>
      <c r="J75" t="s">
        <v>761</v>
      </c>
      <c r="K75" t="s">
        <v>358</v>
      </c>
      <c r="L75">
        <v>9.220000000000001</v>
      </c>
      <c r="M75">
        <v>1.76</v>
      </c>
      <c r="N75">
        <v>0.1908893709327549</v>
      </c>
      <c r="O75">
        <v>17</v>
      </c>
      <c r="P75">
        <v>0.07271775327137764</v>
      </c>
      <c r="Q75">
        <v>0.322340267122445</v>
      </c>
      <c r="R75" t="s">
        <v>765</v>
      </c>
      <c r="S75" t="s">
        <v>770</v>
      </c>
      <c r="T75">
        <v>25464.311066</v>
      </c>
      <c r="U75" s="2">
        <v>44416</v>
      </c>
      <c r="V75" t="s">
        <v>784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168.37</v>
      </c>
      <c r="D76">
        <v>170</v>
      </c>
      <c r="E76">
        <v>0.9904117647058823</v>
      </c>
      <c r="F76">
        <v>0.01781790105125616</v>
      </c>
      <c r="G76">
        <v>0.001928757340277532</v>
      </c>
      <c r="H76">
        <v>0.04</v>
      </c>
      <c r="I76">
        <v>0.058984659348853</v>
      </c>
      <c r="J76" t="s">
        <v>761</v>
      </c>
      <c r="K76" t="s">
        <v>762</v>
      </c>
      <c r="L76">
        <v>6.3</v>
      </c>
      <c r="M76">
        <v>3</v>
      </c>
      <c r="N76">
        <v>0.4761904761904762</v>
      </c>
      <c r="O76">
        <v>58</v>
      </c>
      <c r="P76">
        <v>0.05006335758366887</v>
      </c>
      <c r="Q76">
        <v>-0.03055433630192</v>
      </c>
      <c r="R76" t="s">
        <v>765</v>
      </c>
      <c r="S76" t="s">
        <v>774</v>
      </c>
      <c r="T76">
        <v>4639.52412</v>
      </c>
      <c r="U76" s="2">
        <v>44444</v>
      </c>
      <c r="V76" t="s">
        <v>785</v>
      </c>
    </row>
    <row r="77" spans="1:22">
      <c r="A77" s="1" t="s">
        <v>97</v>
      </c>
      <c r="B77">
        <f>HYPERLINK("https://www.suredividend.com/sure-analysis-CPKF/","Chesapeake Financial Shares Inc")</f>
        <v>0</v>
      </c>
      <c r="C77">
        <v>28.8</v>
      </c>
      <c r="D77">
        <v>48</v>
      </c>
      <c r="E77">
        <v>0.6</v>
      </c>
      <c r="F77">
        <v>0.01805555555555556</v>
      </c>
      <c r="G77">
        <v>0.1075663432482898</v>
      </c>
      <c r="H77">
        <v>-0.06</v>
      </c>
      <c r="I77">
        <v>0.05783524368525139</v>
      </c>
      <c r="J77" t="s">
        <v>761</v>
      </c>
      <c r="K77" t="s">
        <v>762</v>
      </c>
      <c r="L77">
        <v>5</v>
      </c>
      <c r="M77">
        <v>0.52</v>
      </c>
      <c r="N77">
        <v>0.104</v>
      </c>
      <c r="O77">
        <v>29</v>
      </c>
      <c r="P77">
        <v>0.0391241569508578</v>
      </c>
      <c r="Q77">
        <v>0.384395744905856</v>
      </c>
      <c r="R77" t="s">
        <v>765</v>
      </c>
      <c r="S77" t="s">
        <v>773</v>
      </c>
      <c r="T77">
        <v>139.13424</v>
      </c>
      <c r="U77" s="2">
        <v>44407</v>
      </c>
      <c r="V77" t="s">
        <v>785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84.83</v>
      </c>
      <c r="D78">
        <v>70</v>
      </c>
      <c r="E78">
        <v>1.211857142857143</v>
      </c>
      <c r="F78">
        <v>0.01603206412825652</v>
      </c>
      <c r="G78">
        <v>-0.03770170878757562</v>
      </c>
      <c r="H78">
        <v>0.08</v>
      </c>
      <c r="I78">
        <v>0.05660985816401376</v>
      </c>
      <c r="J78" t="s">
        <v>761</v>
      </c>
      <c r="K78" t="s">
        <v>358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-0.06916178446890101</v>
      </c>
      <c r="R78" t="s">
        <v>765</v>
      </c>
      <c r="S78" t="s">
        <v>774</v>
      </c>
      <c r="T78">
        <v>22613.454858</v>
      </c>
      <c r="U78" s="2">
        <v>44379</v>
      </c>
      <c r="V78" t="s">
        <v>781</v>
      </c>
    </row>
    <row r="79" spans="1:22">
      <c r="A79" s="1" t="s">
        <v>99</v>
      </c>
      <c r="B79">
        <f>HYPERLINK("https://www.suredividend.com/sure-analysis-GD/","General Dynamics Corp.")</f>
        <v>0</v>
      </c>
      <c r="C79">
        <v>197.72</v>
      </c>
      <c r="D79">
        <v>173</v>
      </c>
      <c r="E79">
        <v>1.142890173410405</v>
      </c>
      <c r="F79">
        <v>0.02407444871535505</v>
      </c>
      <c r="G79">
        <v>-0.02635844730562331</v>
      </c>
      <c r="H79">
        <v>0.06</v>
      </c>
      <c r="I79">
        <v>0.05625733655324727</v>
      </c>
      <c r="J79" t="s">
        <v>761</v>
      </c>
      <c r="K79" t="s">
        <v>762</v>
      </c>
      <c r="L79">
        <v>11.5</v>
      </c>
      <c r="M79">
        <v>4.76</v>
      </c>
      <c r="N79">
        <v>0.4139130434782609</v>
      </c>
      <c r="O79">
        <v>30</v>
      </c>
      <c r="P79">
        <v>0.06000153927394081</v>
      </c>
      <c r="Q79">
        <v>0.481704061337652</v>
      </c>
      <c r="R79" t="s">
        <v>765</v>
      </c>
      <c r="S79" t="s">
        <v>772</v>
      </c>
      <c r="T79">
        <v>54999.773205</v>
      </c>
      <c r="U79" s="2">
        <v>44423</v>
      </c>
      <c r="V79" t="s">
        <v>788</v>
      </c>
    </row>
    <row r="80" spans="1:22">
      <c r="A80" s="1" t="s">
        <v>100</v>
      </c>
      <c r="B80">
        <f>HYPERLINK("https://www.suredividend.com/sure-analysis-FUL/","H.B. Fuller Company")</f>
        <v>0</v>
      </c>
      <c r="C80">
        <v>66.51000000000001</v>
      </c>
      <c r="D80">
        <v>54</v>
      </c>
      <c r="E80">
        <v>1.231666666666667</v>
      </c>
      <c r="F80">
        <v>0.01007367313185987</v>
      </c>
      <c r="G80">
        <v>-0.04081724422516564</v>
      </c>
      <c r="H80">
        <v>0.09</v>
      </c>
      <c r="I80">
        <v>0.05514761526899847</v>
      </c>
      <c r="J80" t="s">
        <v>761</v>
      </c>
      <c r="K80" t="s">
        <v>762</v>
      </c>
      <c r="L80">
        <v>3.6</v>
      </c>
      <c r="M80">
        <v>0.67</v>
      </c>
      <c r="N80">
        <v>0.1861111111111111</v>
      </c>
      <c r="O80">
        <v>52</v>
      </c>
      <c r="P80">
        <v>0.05119849323654324</v>
      </c>
      <c r="Q80">
        <v>0.4296867803866</v>
      </c>
      <c r="R80" t="s">
        <v>765</v>
      </c>
      <c r="S80" t="s">
        <v>771</v>
      </c>
      <c r="T80">
        <v>3424.729205</v>
      </c>
      <c r="U80" s="2">
        <v>44371</v>
      </c>
      <c r="V80" t="s">
        <v>787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123.7</v>
      </c>
      <c r="D81">
        <v>107</v>
      </c>
      <c r="E81">
        <v>1.15607476635514</v>
      </c>
      <c r="F81">
        <v>0.02635408245755861</v>
      </c>
      <c r="G81">
        <v>-0.02858945045790939</v>
      </c>
      <c r="H81">
        <v>0.06</v>
      </c>
      <c r="I81">
        <v>0.05486065805922102</v>
      </c>
      <c r="J81" t="s">
        <v>761</v>
      </c>
      <c r="K81" t="s">
        <v>761</v>
      </c>
      <c r="L81">
        <v>6.3</v>
      </c>
      <c r="M81">
        <v>3.26</v>
      </c>
      <c r="N81">
        <v>0.5174603174603174</v>
      </c>
      <c r="O81">
        <v>65</v>
      </c>
      <c r="P81">
        <v>0.04019456757723883</v>
      </c>
      <c r="Q81">
        <v>0.341154196867089</v>
      </c>
      <c r="R81" t="s">
        <v>765</v>
      </c>
      <c r="S81" t="s">
        <v>775</v>
      </c>
      <c r="T81">
        <v>17672.422377</v>
      </c>
      <c r="U81" s="2">
        <v>44403</v>
      </c>
      <c r="V81" t="s">
        <v>785</v>
      </c>
    </row>
    <row r="82" spans="1:22">
      <c r="A82" s="1" t="s">
        <v>102</v>
      </c>
      <c r="B82">
        <f>HYPERLINK("https://www.suredividend.com/sure-analysis-AROW/","Arrow Financial Corp.")</f>
        <v>0</v>
      </c>
      <c r="C82">
        <v>33.43</v>
      </c>
      <c r="D82">
        <v>40</v>
      </c>
      <c r="E82">
        <v>0.83575</v>
      </c>
      <c r="F82">
        <v>0.03110978163326354</v>
      </c>
      <c r="G82">
        <v>0.03653679416699962</v>
      </c>
      <c r="H82">
        <v>-0.01</v>
      </c>
      <c r="I82">
        <v>0.05438841415294093</v>
      </c>
      <c r="J82" t="s">
        <v>761</v>
      </c>
      <c r="K82" t="s">
        <v>761</v>
      </c>
      <c r="L82">
        <v>3.35</v>
      </c>
      <c r="M82">
        <v>1.04</v>
      </c>
      <c r="N82">
        <v>0.3104477611940298</v>
      </c>
      <c r="O82">
        <v>26</v>
      </c>
      <c r="P82">
        <v>0.02031177855938826</v>
      </c>
      <c r="Q82">
        <v>0.431838818550943</v>
      </c>
      <c r="R82" t="s">
        <v>765</v>
      </c>
      <c r="S82" t="s">
        <v>773</v>
      </c>
      <c r="T82">
        <v>520.686792</v>
      </c>
      <c r="U82" s="2">
        <v>44408</v>
      </c>
      <c r="V82" t="s">
        <v>785</v>
      </c>
    </row>
    <row r="83" spans="1:22">
      <c r="A83" s="1" t="s">
        <v>103</v>
      </c>
      <c r="B83">
        <f>HYPERLINK("https://www.suredividend.com/sure-analysis-SYY/","Sysco Corp.")</f>
        <v>0</v>
      </c>
      <c r="C83">
        <v>80.43000000000001</v>
      </c>
      <c r="D83">
        <v>66</v>
      </c>
      <c r="E83">
        <v>1.218636363636364</v>
      </c>
      <c r="F83">
        <v>0.02337436279995026</v>
      </c>
      <c r="G83">
        <v>-0.03877474380954737</v>
      </c>
      <c r="H83">
        <v>0.07000000000000001</v>
      </c>
      <c r="I83">
        <v>0.0537017523641421</v>
      </c>
      <c r="J83" t="s">
        <v>761</v>
      </c>
      <c r="K83" t="s">
        <v>762</v>
      </c>
      <c r="L83">
        <v>3.3</v>
      </c>
      <c r="M83">
        <v>1.88</v>
      </c>
      <c r="N83">
        <v>0.5696969696969697</v>
      </c>
      <c r="O83">
        <v>51</v>
      </c>
      <c r="P83">
        <v>0.07981721406627784</v>
      </c>
      <c r="Q83">
        <v>0.351660395960773</v>
      </c>
      <c r="R83" t="s">
        <v>765</v>
      </c>
      <c r="S83" t="s">
        <v>774</v>
      </c>
      <c r="T83">
        <v>40859.006503</v>
      </c>
      <c r="U83" s="2">
        <v>44445</v>
      </c>
      <c r="V83" t="s">
        <v>786</v>
      </c>
    </row>
    <row r="84" spans="1:22">
      <c r="A84" s="1" t="s">
        <v>104</v>
      </c>
      <c r="B84">
        <f>HYPERLINK("https://www.suredividend.com/sure-analysis-HRL/","Hormel Foods Corp.")</f>
        <v>0</v>
      </c>
      <c r="C84">
        <v>40.96</v>
      </c>
      <c r="D84">
        <v>37</v>
      </c>
      <c r="E84">
        <v>1.107027027027027</v>
      </c>
      <c r="F84">
        <v>0.02392578125</v>
      </c>
      <c r="G84">
        <v>-0.02013023951887039</v>
      </c>
      <c r="H84">
        <v>0.05</v>
      </c>
      <c r="I84">
        <v>0.0525173512400654</v>
      </c>
      <c r="J84" t="s">
        <v>761</v>
      </c>
      <c r="K84" t="s">
        <v>762</v>
      </c>
      <c r="L84">
        <v>1.7</v>
      </c>
      <c r="M84">
        <v>0.98</v>
      </c>
      <c r="N84">
        <v>0.5764705882352941</v>
      </c>
      <c r="O84">
        <v>55</v>
      </c>
      <c r="P84">
        <v>0.04987304960985517</v>
      </c>
      <c r="Q84">
        <v>-0.129987901628462</v>
      </c>
      <c r="R84" t="s">
        <v>765</v>
      </c>
      <c r="S84" t="s">
        <v>774</v>
      </c>
      <c r="T84">
        <v>22044.085181</v>
      </c>
      <c r="U84" s="2">
        <v>44444</v>
      </c>
      <c r="V84" t="s">
        <v>785</v>
      </c>
    </row>
    <row r="85" spans="1:22">
      <c r="A85" s="1" t="s">
        <v>105</v>
      </c>
      <c r="B85">
        <f>HYPERLINK("https://www.suredividend.com/sure-analysis-KR/","Kroger Co.")</f>
        <v>0</v>
      </c>
      <c r="C85">
        <v>40.785</v>
      </c>
      <c r="D85">
        <v>43</v>
      </c>
      <c r="E85">
        <v>0.9484883720930232</v>
      </c>
      <c r="F85">
        <v>0.02059580728208901</v>
      </c>
      <c r="G85">
        <v>0.01063328558134802</v>
      </c>
      <c r="H85">
        <v>0.02</v>
      </c>
      <c r="I85">
        <v>0.05239433314789554</v>
      </c>
      <c r="J85" t="s">
        <v>761</v>
      </c>
      <c r="K85" t="s">
        <v>762</v>
      </c>
      <c r="L85">
        <v>3.3</v>
      </c>
      <c r="M85">
        <v>0.84</v>
      </c>
      <c r="N85">
        <v>0.2545454545454546</v>
      </c>
      <c r="O85">
        <v>16</v>
      </c>
      <c r="P85">
        <v>0.07033701387905711</v>
      </c>
      <c r="Q85">
        <v>0.232727094224774</v>
      </c>
      <c r="R85" t="s">
        <v>765</v>
      </c>
      <c r="S85" t="s">
        <v>774</v>
      </c>
      <c r="T85">
        <v>29879.394488</v>
      </c>
      <c r="U85" s="2">
        <v>44451</v>
      </c>
      <c r="V85" t="s">
        <v>784</v>
      </c>
    </row>
    <row r="86" spans="1:22">
      <c r="A86" s="1" t="s">
        <v>106</v>
      </c>
      <c r="B86">
        <f>HYPERLINK("https://www.suredividend.com/sure-analysis-CHD/","Church &amp; Dwight Co., Inc.")</f>
        <v>0</v>
      </c>
      <c r="C86">
        <v>82.73</v>
      </c>
      <c r="D86">
        <v>75</v>
      </c>
      <c r="E86">
        <v>1.103066666666667</v>
      </c>
      <c r="F86">
        <v>0.01220838873443733</v>
      </c>
      <c r="G86">
        <v>-0.01942763896696975</v>
      </c>
      <c r="H86">
        <v>0.06</v>
      </c>
      <c r="I86">
        <v>0.05199004090573478</v>
      </c>
      <c r="J86" t="s">
        <v>761</v>
      </c>
      <c r="K86" t="s">
        <v>358</v>
      </c>
      <c r="L86">
        <v>3</v>
      </c>
      <c r="M86">
        <v>1.01</v>
      </c>
      <c r="N86">
        <v>0.3366666666666667</v>
      </c>
      <c r="O86">
        <v>25</v>
      </c>
      <c r="P86">
        <v>0.0705165705095081</v>
      </c>
      <c r="Q86">
        <v>-0.08034475751230301</v>
      </c>
      <c r="R86" t="s">
        <v>765</v>
      </c>
      <c r="S86" t="s">
        <v>774</v>
      </c>
      <c r="T86">
        <v>20446.382847</v>
      </c>
      <c r="U86" s="2">
        <v>44414</v>
      </c>
      <c r="V86" t="s">
        <v>785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124.51</v>
      </c>
      <c r="D87">
        <v>120</v>
      </c>
      <c r="E87">
        <v>1.037583333333333</v>
      </c>
      <c r="F87">
        <v>0.009316520761384627</v>
      </c>
      <c r="G87">
        <v>-0.007351701298802027</v>
      </c>
      <c r="H87">
        <v>0.05</v>
      </c>
      <c r="I87">
        <v>0.05102147082345621</v>
      </c>
      <c r="J87" t="s">
        <v>761</v>
      </c>
      <c r="K87" t="s">
        <v>358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0.423266269682651</v>
      </c>
      <c r="R87" t="s">
        <v>765</v>
      </c>
      <c r="S87" t="s">
        <v>772</v>
      </c>
      <c r="T87">
        <v>21232.996927</v>
      </c>
      <c r="U87" s="2">
        <v>44425</v>
      </c>
      <c r="V87" t="s">
        <v>786</v>
      </c>
    </row>
    <row r="88" spans="1:22">
      <c r="A88" s="1" t="s">
        <v>108</v>
      </c>
      <c r="B88">
        <f>HYPERLINK("https://www.suredividend.com/sure-analysis-MGRC/","McGrath Rentcorp")</f>
        <v>0</v>
      </c>
      <c r="C88">
        <v>72.84</v>
      </c>
      <c r="D88">
        <v>71</v>
      </c>
      <c r="E88">
        <v>1.025915492957747</v>
      </c>
      <c r="F88">
        <v>0.02388797364085667</v>
      </c>
      <c r="G88">
        <v>-0.005104005635229947</v>
      </c>
      <c r="H88">
        <v>0.03</v>
      </c>
      <c r="I88">
        <v>0.04742898657715822</v>
      </c>
      <c r="J88" t="s">
        <v>761</v>
      </c>
      <c r="K88" t="s">
        <v>762</v>
      </c>
      <c r="L88">
        <v>4.04</v>
      </c>
      <c r="M88">
        <v>1.74</v>
      </c>
      <c r="N88">
        <v>0.4306930693069307</v>
      </c>
      <c r="O88">
        <v>30</v>
      </c>
      <c r="P88">
        <v>0.0302922291651091</v>
      </c>
      <c r="Q88">
        <v>0.283328387944554</v>
      </c>
      <c r="R88" t="s">
        <v>765</v>
      </c>
      <c r="S88" t="s">
        <v>772</v>
      </c>
      <c r="T88">
        <v>1761.660592</v>
      </c>
      <c r="U88" s="2">
        <v>44416</v>
      </c>
      <c r="V88" t="s">
        <v>781</v>
      </c>
    </row>
    <row r="89" spans="1:22">
      <c r="A89" s="1" t="s">
        <v>109</v>
      </c>
      <c r="B89">
        <f>HYPERLINK("https://www.suredividend.com/sure-analysis-THFF/","First Financial Corp. - Indiana")</f>
        <v>0</v>
      </c>
      <c r="C89">
        <v>40.84</v>
      </c>
      <c r="D89">
        <v>48</v>
      </c>
      <c r="E89">
        <v>0.8508333333333334</v>
      </c>
      <c r="F89">
        <v>0.02595494613124388</v>
      </c>
      <c r="G89">
        <v>0.0328353667469985</v>
      </c>
      <c r="H89">
        <v>-0.01</v>
      </c>
      <c r="I89">
        <v>0.04655221687064448</v>
      </c>
      <c r="J89" t="s">
        <v>761</v>
      </c>
      <c r="K89" t="s">
        <v>761</v>
      </c>
      <c r="L89">
        <v>4.35</v>
      </c>
      <c r="M89">
        <v>1.06</v>
      </c>
      <c r="N89">
        <v>0.2436781609195403</v>
      </c>
      <c r="O89">
        <v>32</v>
      </c>
      <c r="P89">
        <v>0.01994322923769842</v>
      </c>
      <c r="Q89">
        <v>0.370220230898703</v>
      </c>
      <c r="R89" t="s">
        <v>765</v>
      </c>
      <c r="S89" t="s">
        <v>773</v>
      </c>
      <c r="T89">
        <v>527.931345</v>
      </c>
      <c r="U89" s="2">
        <v>44424</v>
      </c>
      <c r="V89" t="s">
        <v>785</v>
      </c>
    </row>
    <row r="90" spans="1:22">
      <c r="A90" s="1" t="s">
        <v>110</v>
      </c>
      <c r="B90">
        <f>HYPERLINK("https://www.suredividend.com/sure-analysis-CSL/","Carlisle Companies Inc.")</f>
        <v>0</v>
      </c>
      <c r="C90">
        <v>205.31</v>
      </c>
      <c r="D90">
        <v>173</v>
      </c>
      <c r="E90">
        <v>1.186763005780347</v>
      </c>
      <c r="F90">
        <v>0.01052067605084994</v>
      </c>
      <c r="G90">
        <v>-0.03366613400502094</v>
      </c>
      <c r="H90">
        <v>0.07000000000000001</v>
      </c>
      <c r="I90">
        <v>0.04474905458333422</v>
      </c>
      <c r="J90" t="s">
        <v>761</v>
      </c>
      <c r="K90" t="s">
        <v>358</v>
      </c>
      <c r="L90">
        <v>9.1</v>
      </c>
      <c r="M90">
        <v>2.16</v>
      </c>
      <c r="N90">
        <v>0.2373626373626374</v>
      </c>
      <c r="O90">
        <v>45</v>
      </c>
      <c r="P90">
        <v>0.05995839365595068</v>
      </c>
      <c r="Q90">
        <v>0.7794385446309861</v>
      </c>
      <c r="R90" t="s">
        <v>765</v>
      </c>
      <c r="S90" t="s">
        <v>772</v>
      </c>
      <c r="T90">
        <v>10681.055876</v>
      </c>
      <c r="U90" s="2">
        <v>44417</v>
      </c>
      <c r="V90" t="s">
        <v>783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68.05</v>
      </c>
      <c r="D91">
        <v>58</v>
      </c>
      <c r="E91">
        <v>1.173275862068965</v>
      </c>
      <c r="F91">
        <v>0.01542983100661279</v>
      </c>
      <c r="G91">
        <v>-0.03145462236349039</v>
      </c>
      <c r="H91">
        <v>0.06</v>
      </c>
      <c r="I91">
        <v>0.04318965703204536</v>
      </c>
      <c r="J91" t="s">
        <v>761</v>
      </c>
      <c r="K91" t="s">
        <v>762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0.356012538485742</v>
      </c>
      <c r="R91" t="s">
        <v>765</v>
      </c>
      <c r="S91" t="s">
        <v>773</v>
      </c>
      <c r="T91">
        <v>7953.198727</v>
      </c>
      <c r="U91" s="2">
        <v>44403</v>
      </c>
      <c r="V91" t="s">
        <v>783</v>
      </c>
    </row>
    <row r="92" spans="1:22">
      <c r="A92" s="1" t="s">
        <v>112</v>
      </c>
      <c r="B92">
        <f>HYPERLINK("https://www.suredividend.com/sure-analysis-ORCL/","Oracle Corp.")</f>
        <v>0</v>
      </c>
      <c r="C92">
        <v>89.72</v>
      </c>
      <c r="D92">
        <v>70</v>
      </c>
      <c r="E92">
        <v>1.281714285714286</v>
      </c>
      <c r="F92">
        <v>0.01426660722246991</v>
      </c>
      <c r="G92">
        <v>-0.04842777962209621</v>
      </c>
      <c r="H92">
        <v>0.08</v>
      </c>
      <c r="I92">
        <v>0.04300111469865686</v>
      </c>
      <c r="J92" t="s">
        <v>761</v>
      </c>
      <c r="K92" t="s">
        <v>358</v>
      </c>
      <c r="L92">
        <v>4.65</v>
      </c>
      <c r="M92">
        <v>1.28</v>
      </c>
      <c r="N92">
        <v>0.2752688172043011</v>
      </c>
      <c r="O92">
        <v>12</v>
      </c>
      <c r="P92">
        <v>0.07056368416916192</v>
      </c>
      <c r="Q92">
        <v>0.540866034949502</v>
      </c>
      <c r="R92" t="s">
        <v>765</v>
      </c>
      <c r="S92" t="s">
        <v>777</v>
      </c>
      <c r="T92">
        <v>244847.96618</v>
      </c>
      <c r="U92" s="2">
        <v>44364</v>
      </c>
      <c r="V92" t="s">
        <v>783</v>
      </c>
    </row>
    <row r="93" spans="1:22">
      <c r="A93" s="1" t="s">
        <v>113</v>
      </c>
      <c r="B93">
        <f>HYPERLINK("https://www.suredividend.com/sure-analysis-GWW/","W.W. Grainger Inc.")</f>
        <v>0</v>
      </c>
      <c r="C93">
        <v>405.94</v>
      </c>
      <c r="D93">
        <v>356</v>
      </c>
      <c r="E93">
        <v>1.140280898876404</v>
      </c>
      <c r="F93">
        <v>0.01596295018968321</v>
      </c>
      <c r="G93">
        <v>-0.0259132629730745</v>
      </c>
      <c r="H93">
        <v>0.05</v>
      </c>
      <c r="I93">
        <v>0.03966763335341161</v>
      </c>
      <c r="J93" t="s">
        <v>761</v>
      </c>
      <c r="K93" t="s">
        <v>762</v>
      </c>
      <c r="L93">
        <v>19.75</v>
      </c>
      <c r="M93">
        <v>6.48</v>
      </c>
      <c r="N93">
        <v>0.3281012658227848</v>
      </c>
      <c r="O93">
        <v>50</v>
      </c>
      <c r="P93">
        <v>0.06020279266594519</v>
      </c>
      <c r="Q93">
        <v>0.208085448558512</v>
      </c>
      <c r="R93" t="s">
        <v>765</v>
      </c>
      <c r="S93" t="s">
        <v>772</v>
      </c>
      <c r="T93">
        <v>21006.277291</v>
      </c>
      <c r="U93" s="2">
        <v>44413</v>
      </c>
      <c r="V93" t="s">
        <v>784</v>
      </c>
    </row>
    <row r="94" spans="1:22">
      <c r="A94" s="1" t="s">
        <v>114</v>
      </c>
      <c r="B94">
        <f>HYPERLINK("https://www.suredividend.com/sure-analysis-TGT/","Target Corp")</f>
        <v>0</v>
      </c>
      <c r="C94">
        <v>242.36</v>
      </c>
      <c r="D94">
        <v>234</v>
      </c>
      <c r="E94">
        <v>1.035726495726496</v>
      </c>
      <c r="F94">
        <v>0.01485393629311768</v>
      </c>
      <c r="G94">
        <v>-0.006996034751287961</v>
      </c>
      <c r="H94">
        <v>0.03</v>
      </c>
      <c r="I94">
        <v>0.0385285584344206</v>
      </c>
      <c r="J94" t="s">
        <v>761</v>
      </c>
      <c r="K94" t="s">
        <v>762</v>
      </c>
      <c r="L94">
        <v>13</v>
      </c>
      <c r="M94">
        <v>3.6</v>
      </c>
      <c r="N94">
        <v>0.2769230769230769</v>
      </c>
      <c r="O94">
        <v>54</v>
      </c>
      <c r="P94">
        <v>0.06010506010596317</v>
      </c>
      <c r="Q94">
        <v>0.6244200531901001</v>
      </c>
      <c r="R94" t="s">
        <v>765</v>
      </c>
      <c r="S94" t="s">
        <v>774</v>
      </c>
      <c r="T94">
        <v>118432.436992</v>
      </c>
      <c r="U94" s="2">
        <v>44429</v>
      </c>
      <c r="V94" t="s">
        <v>785</v>
      </c>
    </row>
    <row r="95" spans="1:22">
      <c r="A95" s="1" t="s">
        <v>115</v>
      </c>
      <c r="B95">
        <f>HYPERLINK("https://www.suredividend.com/sure-analysis-WSM/","Williams-Sonoma, Inc.")</f>
        <v>0</v>
      </c>
      <c r="C95">
        <v>190.26</v>
      </c>
      <c r="D95">
        <v>192</v>
      </c>
      <c r="E95">
        <v>0.9909374999999999</v>
      </c>
      <c r="F95">
        <v>0.01492694207925996</v>
      </c>
      <c r="G95">
        <v>0.001822421445055289</v>
      </c>
      <c r="H95">
        <v>0.02</v>
      </c>
      <c r="I95">
        <v>0.03771796709929154</v>
      </c>
      <c r="J95" t="s">
        <v>761</v>
      </c>
      <c r="K95" t="s">
        <v>358</v>
      </c>
      <c r="L95">
        <v>12</v>
      </c>
      <c r="M95">
        <v>2.84</v>
      </c>
      <c r="N95">
        <v>0.2366666666666667</v>
      </c>
      <c r="O95">
        <v>15</v>
      </c>
      <c r="P95">
        <v>0.05996872493653238</v>
      </c>
      <c r="Q95">
        <v>1.168356783318456</v>
      </c>
      <c r="R95" t="s">
        <v>765</v>
      </c>
      <c r="S95" t="s">
        <v>775</v>
      </c>
      <c r="T95">
        <v>14018.649076</v>
      </c>
      <c r="U95" s="2">
        <v>44435</v>
      </c>
      <c r="V95" t="s">
        <v>784</v>
      </c>
    </row>
    <row r="96" spans="1:22">
      <c r="A96" s="1" t="s">
        <v>116</v>
      </c>
      <c r="B96">
        <f>HYPERLINK("https://www.suredividend.com/sure-analysis-PNR/","Pentair plc")</f>
        <v>0</v>
      </c>
      <c r="C96">
        <v>76.93000000000001</v>
      </c>
      <c r="D96">
        <v>64</v>
      </c>
      <c r="E96">
        <v>1.20203125</v>
      </c>
      <c r="F96">
        <v>0.01039906408423242</v>
      </c>
      <c r="G96">
        <v>-0.03613358422599122</v>
      </c>
      <c r="H96">
        <v>0.065</v>
      </c>
      <c r="I96">
        <v>0.03747003858134912</v>
      </c>
      <c r="J96" t="s">
        <v>761</v>
      </c>
      <c r="K96" t="s">
        <v>358</v>
      </c>
      <c r="L96">
        <v>3.35</v>
      </c>
      <c r="M96">
        <v>0.8</v>
      </c>
      <c r="N96">
        <v>0.2388059701492537</v>
      </c>
      <c r="O96">
        <v>44</v>
      </c>
      <c r="P96">
        <v>0.05988502997905321</v>
      </c>
      <c r="Q96">
        <v>0.7285977497784281</v>
      </c>
      <c r="R96" t="s">
        <v>765</v>
      </c>
      <c r="S96" t="s">
        <v>772</v>
      </c>
      <c r="T96">
        <v>12713.406692</v>
      </c>
      <c r="U96" s="2">
        <v>44409</v>
      </c>
      <c r="V96" t="s">
        <v>783</v>
      </c>
    </row>
    <row r="97" spans="1:22">
      <c r="A97" s="1" t="s">
        <v>117</v>
      </c>
      <c r="B97">
        <f>HYPERLINK("https://www.suredividend.com/sure-analysis-DOV/","Dover Corp.")</f>
        <v>0</v>
      </c>
      <c r="C97">
        <v>162.93</v>
      </c>
      <c r="D97">
        <v>125</v>
      </c>
      <c r="E97">
        <v>1.30344</v>
      </c>
      <c r="F97">
        <v>0.0122752102129749</v>
      </c>
      <c r="G97">
        <v>-0.0516213007220111</v>
      </c>
      <c r="H97">
        <v>0.08</v>
      </c>
      <c r="I97">
        <v>0.03686832896058911</v>
      </c>
      <c r="J97" t="s">
        <v>761</v>
      </c>
      <c r="K97" t="s">
        <v>762</v>
      </c>
      <c r="L97">
        <v>7.35</v>
      </c>
      <c r="M97">
        <v>2</v>
      </c>
      <c r="N97">
        <v>0.272108843537415</v>
      </c>
      <c r="O97">
        <v>66</v>
      </c>
      <c r="P97">
        <v>0.04978904632428516</v>
      </c>
      <c r="Q97">
        <v>0.544726121399944</v>
      </c>
      <c r="R97" t="s">
        <v>765</v>
      </c>
      <c r="S97" t="s">
        <v>772</v>
      </c>
      <c r="T97">
        <v>23543.370983</v>
      </c>
      <c r="U97" s="2">
        <v>44397</v>
      </c>
      <c r="V97" t="s">
        <v>781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24.92</v>
      </c>
      <c r="D98">
        <v>27</v>
      </c>
      <c r="E98">
        <v>0.922962962962963</v>
      </c>
      <c r="F98">
        <v>0.01845906902086677</v>
      </c>
      <c r="G98">
        <v>0.01616245641174352</v>
      </c>
      <c r="H98">
        <v>0</v>
      </c>
      <c r="I98">
        <v>0.03555841084364375</v>
      </c>
      <c r="J98" t="s">
        <v>761</v>
      </c>
      <c r="K98" t="s">
        <v>762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0.378951620489494</v>
      </c>
      <c r="R98" t="s">
        <v>765</v>
      </c>
      <c r="S98" t="s">
        <v>773</v>
      </c>
      <c r="T98">
        <v>111.352229</v>
      </c>
      <c r="U98" s="2">
        <v>44409</v>
      </c>
      <c r="V98" t="s">
        <v>785</v>
      </c>
    </row>
    <row r="99" spans="1:22">
      <c r="A99" s="1" t="s">
        <v>119</v>
      </c>
      <c r="B99">
        <f>HYPERLINK("https://www.suredividend.com/sure-analysis-EMR/","Emerson Electric Co.")</f>
        <v>0</v>
      </c>
      <c r="C99">
        <v>97.06999999999999</v>
      </c>
      <c r="D99">
        <v>78</v>
      </c>
      <c r="E99">
        <v>1.244487179487179</v>
      </c>
      <c r="F99">
        <v>0.0208097249407644</v>
      </c>
      <c r="G99">
        <v>-0.04280170884837975</v>
      </c>
      <c r="H99">
        <v>0.06</v>
      </c>
      <c r="I99">
        <v>0.03524060900976944</v>
      </c>
      <c r="J99" t="s">
        <v>761</v>
      </c>
      <c r="K99" t="s">
        <v>762</v>
      </c>
      <c r="L99">
        <v>4.1</v>
      </c>
      <c r="M99">
        <v>2.02</v>
      </c>
      <c r="N99">
        <v>0.4926829268292683</v>
      </c>
      <c r="O99">
        <v>64</v>
      </c>
      <c r="P99">
        <v>0.02984744908834402</v>
      </c>
      <c r="Q99">
        <v>0.5529154000647041</v>
      </c>
      <c r="R99" t="s">
        <v>765</v>
      </c>
      <c r="S99" t="s">
        <v>772</v>
      </c>
      <c r="T99">
        <v>57962.688</v>
      </c>
      <c r="U99" s="2">
        <v>44427</v>
      </c>
      <c r="V99" t="s">
        <v>785</v>
      </c>
    </row>
    <row r="100" spans="1:22">
      <c r="A100" s="1" t="s">
        <v>120</v>
      </c>
      <c r="B100">
        <f>HYPERLINK("https://www.suredividend.com/sure-analysis-LECO/","Lincoln Electric Holdings, Inc.")</f>
        <v>0</v>
      </c>
      <c r="C100">
        <v>133.335</v>
      </c>
      <c r="D100">
        <v>103</v>
      </c>
      <c r="E100">
        <v>1.294514563106796</v>
      </c>
      <c r="F100">
        <v>0.01529980875239059</v>
      </c>
      <c r="G100">
        <v>-0.0503171137182471</v>
      </c>
      <c r="H100">
        <v>0.07000000000000001</v>
      </c>
      <c r="I100">
        <v>0.03373546567275199</v>
      </c>
      <c r="J100" t="s">
        <v>761</v>
      </c>
      <c r="K100" t="s">
        <v>358</v>
      </c>
      <c r="L100">
        <v>5.7</v>
      </c>
      <c r="M100">
        <v>2.04</v>
      </c>
      <c r="N100">
        <v>0.3578947368421053</v>
      </c>
      <c r="O100">
        <v>25</v>
      </c>
      <c r="P100">
        <v>0.0801851873035635</v>
      </c>
      <c r="Q100">
        <v>0.552001096459388</v>
      </c>
      <c r="R100" t="s">
        <v>765</v>
      </c>
      <c r="S100" t="s">
        <v>772</v>
      </c>
      <c r="T100">
        <v>7935.237626</v>
      </c>
      <c r="U100" s="2">
        <v>44404</v>
      </c>
      <c r="V100" t="s">
        <v>783</v>
      </c>
    </row>
    <row r="101" spans="1:22">
      <c r="A101" s="1" t="s">
        <v>121</v>
      </c>
      <c r="B101">
        <f>HYPERLINK("https://www.suredividend.com/sure-analysis-CB/","Chubb Limited")</f>
        <v>0</v>
      </c>
      <c r="C101">
        <v>177.85</v>
      </c>
      <c r="D101">
        <v>149</v>
      </c>
      <c r="E101">
        <v>1.193624161073825</v>
      </c>
      <c r="F101">
        <v>0.01799269046949677</v>
      </c>
      <c r="G101">
        <v>-0.03477962755814623</v>
      </c>
      <c r="H101">
        <v>0.05</v>
      </c>
      <c r="I101">
        <v>0.0328066998615455</v>
      </c>
      <c r="J101" t="s">
        <v>761</v>
      </c>
      <c r="K101" t="s">
        <v>762</v>
      </c>
      <c r="L101">
        <v>12.4</v>
      </c>
      <c r="M101">
        <v>3.2</v>
      </c>
      <c r="N101">
        <v>0.2580645161290323</v>
      </c>
      <c r="O101">
        <v>28</v>
      </c>
      <c r="P101">
        <v>0.05488534927137567</v>
      </c>
      <c r="Q101">
        <v>0.5884948901281331</v>
      </c>
      <c r="R101" t="s">
        <v>765</v>
      </c>
      <c r="S101" t="s">
        <v>773</v>
      </c>
      <c r="T101">
        <v>77871.968457</v>
      </c>
      <c r="U101" s="2">
        <v>44413</v>
      </c>
      <c r="V101" t="s">
        <v>783</v>
      </c>
    </row>
    <row r="102" spans="1:22">
      <c r="A102" s="1" t="s">
        <v>122</v>
      </c>
      <c r="B102">
        <f>HYPERLINK("https://www.suredividend.com/sure-analysis-ITW/","Illinois Tool Works, Inc.")</f>
        <v>0</v>
      </c>
      <c r="C102">
        <v>217.905</v>
      </c>
      <c r="D102">
        <v>166</v>
      </c>
      <c r="E102">
        <v>1.312680722891566</v>
      </c>
      <c r="F102">
        <v>0.008627612950597737</v>
      </c>
      <c r="G102">
        <v>-0.05296031431074311</v>
      </c>
      <c r="H102">
        <v>0.07000000000000001</v>
      </c>
      <c r="I102">
        <v>0.03106285521570151</v>
      </c>
      <c r="J102" t="s">
        <v>761</v>
      </c>
      <c r="K102" t="s">
        <v>358</v>
      </c>
      <c r="L102">
        <v>8.75</v>
      </c>
      <c r="M102">
        <v>1.88</v>
      </c>
      <c r="N102">
        <v>0.2148571428571429</v>
      </c>
      <c r="O102">
        <v>46</v>
      </c>
      <c r="P102">
        <v>0.2827767102750014</v>
      </c>
      <c r="Q102">
        <v>0.16670531052257</v>
      </c>
      <c r="R102" t="s">
        <v>765</v>
      </c>
      <c r="S102" t="s">
        <v>772</v>
      </c>
      <c r="T102">
        <v>68625.187314</v>
      </c>
      <c r="U102" s="2">
        <v>44413</v>
      </c>
      <c r="V102" t="s">
        <v>784</v>
      </c>
    </row>
    <row r="103" spans="1:22">
      <c r="A103" s="1" t="s">
        <v>123</v>
      </c>
      <c r="B103">
        <f>HYPERLINK("https://www.suredividend.com/sure-analysis-NKE/","Nike, Inc.")</f>
        <v>0</v>
      </c>
      <c r="C103">
        <v>149.07</v>
      </c>
      <c r="D103">
        <v>102</v>
      </c>
      <c r="E103">
        <v>1.461470588235294</v>
      </c>
      <c r="F103">
        <v>0.007379083651975583</v>
      </c>
      <c r="G103">
        <v>-0.07308057391824307</v>
      </c>
      <c r="H103">
        <v>0.1</v>
      </c>
      <c r="I103">
        <v>0.02861596464279259</v>
      </c>
      <c r="J103" t="s">
        <v>761</v>
      </c>
      <c r="K103" t="s">
        <v>358</v>
      </c>
      <c r="L103">
        <v>4.25</v>
      </c>
      <c r="M103">
        <v>1.1</v>
      </c>
      <c r="N103">
        <v>0.2588235294117647</v>
      </c>
      <c r="O103">
        <v>19</v>
      </c>
      <c r="P103">
        <v>0.09980608000232882</v>
      </c>
      <c r="Q103">
        <v>0.265159437203044</v>
      </c>
      <c r="R103" t="s">
        <v>765</v>
      </c>
      <c r="S103" t="s">
        <v>775</v>
      </c>
      <c r="T103">
        <v>250513.473953</v>
      </c>
      <c r="U103" s="2">
        <v>44373</v>
      </c>
      <c r="V103" t="s">
        <v>784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374.81</v>
      </c>
      <c r="D104">
        <v>309</v>
      </c>
      <c r="E104">
        <v>1.212977346278317</v>
      </c>
      <c r="F104">
        <v>0.006616685787465649</v>
      </c>
      <c r="G104">
        <v>-0.03787951396602596</v>
      </c>
      <c r="H104">
        <v>0.06</v>
      </c>
      <c r="I104">
        <v>0.02816862096141581</v>
      </c>
      <c r="J104" t="s">
        <v>761</v>
      </c>
      <c r="K104" t="s">
        <v>498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0.388211107383057</v>
      </c>
      <c r="R104" t="s">
        <v>765</v>
      </c>
      <c r="S104" t="s">
        <v>773</v>
      </c>
      <c r="T104">
        <v>70182.504</v>
      </c>
      <c r="U104" s="2">
        <v>44409</v>
      </c>
      <c r="V104" t="s">
        <v>785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42.13</v>
      </c>
      <c r="D105">
        <v>42</v>
      </c>
      <c r="E105">
        <v>1.003095238095238</v>
      </c>
      <c r="F105">
        <v>0.02705910277711844</v>
      </c>
      <c r="G105">
        <v>-0.0006179005622841682</v>
      </c>
      <c r="H105">
        <v>0</v>
      </c>
      <c r="I105">
        <v>0.02741089616209025</v>
      </c>
      <c r="J105" t="s">
        <v>761</v>
      </c>
      <c r="K105" t="s">
        <v>762</v>
      </c>
      <c r="L105">
        <v>3.8</v>
      </c>
      <c r="M105">
        <v>1.14</v>
      </c>
      <c r="N105">
        <v>0.3</v>
      </c>
      <c r="O105">
        <v>25</v>
      </c>
      <c r="P105">
        <v>0.02975477857041309</v>
      </c>
      <c r="Q105">
        <v>1.122226091520684</v>
      </c>
      <c r="R105" t="s">
        <v>765</v>
      </c>
      <c r="S105" t="s">
        <v>773</v>
      </c>
      <c r="T105">
        <v>5112.320293</v>
      </c>
      <c r="U105" s="2">
        <v>44402</v>
      </c>
      <c r="V105" t="s">
        <v>784</v>
      </c>
    </row>
    <row r="106" spans="1:22">
      <c r="A106" s="1" t="s">
        <v>126</v>
      </c>
      <c r="B106">
        <f>HYPERLINK("https://www.suredividend.com/sure-analysis-V/","Visa Inc")</f>
        <v>0</v>
      </c>
      <c r="C106">
        <v>230.93</v>
      </c>
      <c r="D106">
        <v>144</v>
      </c>
      <c r="E106">
        <v>1.603680555555556</v>
      </c>
      <c r="F106">
        <v>0.005542805179058589</v>
      </c>
      <c r="G106">
        <v>-0.09013611441941471</v>
      </c>
      <c r="H106">
        <v>0.12</v>
      </c>
      <c r="I106">
        <v>0.02666969799401664</v>
      </c>
      <c r="J106" t="s">
        <v>761</v>
      </c>
      <c r="K106" t="s">
        <v>498</v>
      </c>
      <c r="L106">
        <v>5.75</v>
      </c>
      <c r="M106">
        <v>1.28</v>
      </c>
      <c r="N106">
        <v>0.2226086956521739</v>
      </c>
      <c r="O106">
        <v>13</v>
      </c>
      <c r="P106">
        <v>0.1395805480611745</v>
      </c>
      <c r="Q106">
        <v>0.175483868310384</v>
      </c>
      <c r="R106" t="s">
        <v>765</v>
      </c>
      <c r="S106" t="s">
        <v>773</v>
      </c>
      <c r="T106">
        <v>503195.24</v>
      </c>
      <c r="U106" s="2">
        <v>44408</v>
      </c>
      <c r="V106" t="s">
        <v>784</v>
      </c>
    </row>
    <row r="107" spans="1:22">
      <c r="A107" s="1" t="s">
        <v>127</v>
      </c>
      <c r="B107">
        <f>HYPERLINK("https://www.suredividend.com/sure-analysis-PG/","Procter &amp; Gamble Co.")</f>
        <v>0</v>
      </c>
      <c r="C107">
        <v>143.96</v>
      </c>
      <c r="D107">
        <v>118</v>
      </c>
      <c r="E107">
        <v>1.22</v>
      </c>
      <c r="F107">
        <v>0.02417338149485968</v>
      </c>
      <c r="G107">
        <v>-0.03898971891444336</v>
      </c>
      <c r="H107">
        <v>0.04</v>
      </c>
      <c r="I107">
        <v>0.02574353017664777</v>
      </c>
      <c r="J107" t="s">
        <v>761</v>
      </c>
      <c r="K107" t="s">
        <v>762</v>
      </c>
      <c r="L107">
        <v>5.9</v>
      </c>
      <c r="M107">
        <v>3.48</v>
      </c>
      <c r="N107">
        <v>0.5898305084745762</v>
      </c>
      <c r="O107">
        <v>65</v>
      </c>
      <c r="P107">
        <v>0.04515835609077623</v>
      </c>
      <c r="Q107">
        <v>0.083710817040843</v>
      </c>
      <c r="R107" t="s">
        <v>765</v>
      </c>
      <c r="S107" t="s">
        <v>774</v>
      </c>
      <c r="T107">
        <v>350138.836025</v>
      </c>
      <c r="U107" s="2">
        <v>44413</v>
      </c>
      <c r="V107" t="s">
        <v>784</v>
      </c>
    </row>
    <row r="108" spans="1:22">
      <c r="A108" s="1" t="s">
        <v>128</v>
      </c>
      <c r="B108">
        <f>HYPERLINK("https://www.suredividend.com/sure-analysis-AOS/","A.O. Smith Corp.")</f>
        <v>0</v>
      </c>
      <c r="C108">
        <v>64.285</v>
      </c>
      <c r="D108">
        <v>49</v>
      </c>
      <c r="E108">
        <v>1.311938775510204</v>
      </c>
      <c r="F108">
        <v>0.01617795753286148</v>
      </c>
      <c r="G108">
        <v>-0.05285322170371498</v>
      </c>
      <c r="H108">
        <v>0.06</v>
      </c>
      <c r="I108">
        <v>0.02340256764323079</v>
      </c>
      <c r="J108" t="s">
        <v>761</v>
      </c>
      <c r="K108" t="s">
        <v>358</v>
      </c>
      <c r="L108">
        <v>2.73</v>
      </c>
      <c r="M108">
        <v>1.04</v>
      </c>
      <c r="N108">
        <v>0.380952380952381</v>
      </c>
      <c r="O108">
        <v>27</v>
      </c>
      <c r="P108">
        <v>0.08026826569151013</v>
      </c>
      <c r="Q108">
        <v>0.265753144734411</v>
      </c>
      <c r="R108" t="s">
        <v>765</v>
      </c>
      <c r="S108" t="s">
        <v>772</v>
      </c>
      <c r="T108">
        <v>10401.38204</v>
      </c>
      <c r="U108" s="2">
        <v>44417</v>
      </c>
      <c r="V108" t="s">
        <v>783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82.31999999999999</v>
      </c>
      <c r="D109">
        <v>57</v>
      </c>
      <c r="E109">
        <v>1.444210526315789</v>
      </c>
      <c r="F109">
        <v>0.008503401360544218</v>
      </c>
      <c r="G109">
        <v>-0.07087552848760781</v>
      </c>
      <c r="H109">
        <v>0.09</v>
      </c>
      <c r="I109">
        <v>0.0229768990895991</v>
      </c>
      <c r="J109" t="s">
        <v>761</v>
      </c>
      <c r="K109" t="s">
        <v>358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0.4698356487301421</v>
      </c>
      <c r="R109" t="s">
        <v>765</v>
      </c>
      <c r="S109" t="s">
        <v>772</v>
      </c>
      <c r="T109">
        <v>3827.426689</v>
      </c>
      <c r="U109" s="2">
        <v>44425</v>
      </c>
      <c r="V109" t="s">
        <v>787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46.33</v>
      </c>
      <c r="D110">
        <v>50</v>
      </c>
      <c r="E110">
        <v>0.9266</v>
      </c>
      <c r="F110">
        <v>0.02676451543276495</v>
      </c>
      <c r="G110">
        <v>0.01536348450545488</v>
      </c>
      <c r="H110">
        <v>-0.02</v>
      </c>
      <c r="I110">
        <v>0.02249545369641126</v>
      </c>
      <c r="J110" t="s">
        <v>761</v>
      </c>
      <c r="K110" t="s">
        <v>761</v>
      </c>
      <c r="L110">
        <v>4</v>
      </c>
      <c r="M110">
        <v>1.24</v>
      </c>
      <c r="N110">
        <v>0.31</v>
      </c>
      <c r="O110">
        <v>34</v>
      </c>
      <c r="P110">
        <v>0.02013999925026777</v>
      </c>
      <c r="Q110">
        <v>0.6414330685054711</v>
      </c>
      <c r="R110" t="s">
        <v>765</v>
      </c>
      <c r="S110" t="s">
        <v>773</v>
      </c>
      <c r="T110">
        <v>1150.035</v>
      </c>
      <c r="U110" s="2">
        <v>44400</v>
      </c>
      <c r="V110" t="s">
        <v>785</v>
      </c>
    </row>
    <row r="111" spans="1:22">
      <c r="A111" s="1" t="s">
        <v>131</v>
      </c>
      <c r="B111">
        <f>HYPERLINK("https://www.suredividend.com/sure-analysis-JKHY/","Jack Henry &amp; Associates, Inc.")</f>
        <v>0</v>
      </c>
      <c r="C111">
        <v>171.34</v>
      </c>
      <c r="D111">
        <v>114</v>
      </c>
      <c r="E111">
        <v>1.502982456140351</v>
      </c>
      <c r="F111">
        <v>0.01073888175557371</v>
      </c>
      <c r="G111">
        <v>-0.07825833789193493</v>
      </c>
      <c r="H111">
        <v>0.095</v>
      </c>
      <c r="I111">
        <v>0.02245769108889517</v>
      </c>
      <c r="J111" t="s">
        <v>761</v>
      </c>
      <c r="K111" t="s">
        <v>358</v>
      </c>
      <c r="L111">
        <v>4.55</v>
      </c>
      <c r="M111">
        <v>1.84</v>
      </c>
      <c r="N111">
        <v>0.4043956043956044</v>
      </c>
      <c r="O111">
        <v>31</v>
      </c>
      <c r="P111">
        <v>0.08991774272866437</v>
      </c>
      <c r="Q111">
        <v>0.081018315827143</v>
      </c>
      <c r="R111" t="s">
        <v>765</v>
      </c>
      <c r="S111" t="s">
        <v>777</v>
      </c>
      <c r="T111">
        <v>12609.76501</v>
      </c>
      <c r="U111" s="2">
        <v>44435</v>
      </c>
      <c r="V111" t="s">
        <v>783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450.7</v>
      </c>
      <c r="D112">
        <v>342</v>
      </c>
      <c r="E112">
        <v>1.317836257309942</v>
      </c>
      <c r="F112">
        <v>0.006833814067006879</v>
      </c>
      <c r="G112">
        <v>-0.05370246327138317</v>
      </c>
      <c r="H112">
        <v>0.07000000000000001</v>
      </c>
      <c r="I112">
        <v>0.02162784485312863</v>
      </c>
      <c r="J112" t="s">
        <v>761</v>
      </c>
      <c r="K112" t="s">
        <v>358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0.327295408228485</v>
      </c>
      <c r="R112" t="s">
        <v>765</v>
      </c>
      <c r="S112" t="s">
        <v>773</v>
      </c>
      <c r="T112">
        <v>108852.47</v>
      </c>
      <c r="U112" s="2">
        <v>44421</v>
      </c>
      <c r="V112" t="s">
        <v>785</v>
      </c>
    </row>
    <row r="113" spans="1:22">
      <c r="A113" s="1" t="s">
        <v>133</v>
      </c>
      <c r="B113">
        <f>HYPERLINK("https://www.suredividend.com/sure-analysis-BRO/","Brown &amp; Brown, Inc.")</f>
        <v>0</v>
      </c>
      <c r="C113">
        <v>57.79</v>
      </c>
      <c r="D113">
        <v>44</v>
      </c>
      <c r="E113">
        <v>1.313409090909091</v>
      </c>
      <c r="F113">
        <v>0.006402491780584876</v>
      </c>
      <c r="G113">
        <v>-0.05306537624272456</v>
      </c>
      <c r="H113">
        <v>0.07000000000000001</v>
      </c>
      <c r="I113">
        <v>0.02103058641594702</v>
      </c>
      <c r="J113" t="s">
        <v>761</v>
      </c>
      <c r="K113" t="s">
        <v>358</v>
      </c>
      <c r="L113">
        <v>2</v>
      </c>
      <c r="M113">
        <v>0.37</v>
      </c>
      <c r="N113">
        <v>0.185</v>
      </c>
      <c r="O113">
        <v>27</v>
      </c>
      <c r="P113">
        <v>0.09027141631525293</v>
      </c>
      <c r="Q113">
        <v>0.3363992085763901</v>
      </c>
      <c r="R113" t="s">
        <v>765</v>
      </c>
      <c r="S113" t="s">
        <v>773</v>
      </c>
      <c r="T113">
        <v>16186.77674</v>
      </c>
      <c r="U113" s="2">
        <v>44404</v>
      </c>
      <c r="V113" t="s">
        <v>785</v>
      </c>
    </row>
    <row r="114" spans="1:22">
      <c r="A114" s="1" t="s">
        <v>134</v>
      </c>
      <c r="B114">
        <f>HYPERLINK("https://www.suredividend.com/sure-analysis-MDT/","Medtronic Plc")</f>
        <v>0</v>
      </c>
      <c r="C114">
        <v>130.81</v>
      </c>
      <c r="D114">
        <v>97</v>
      </c>
      <c r="E114">
        <v>1.348556701030928</v>
      </c>
      <c r="F114">
        <v>0.01773564712177968</v>
      </c>
      <c r="G114">
        <v>-0.05805367140177986</v>
      </c>
      <c r="H114">
        <v>0.06</v>
      </c>
      <c r="I114">
        <v>0.02092000853430975</v>
      </c>
      <c r="J114" t="s">
        <v>761</v>
      </c>
      <c r="K114" t="s">
        <v>762</v>
      </c>
      <c r="L114">
        <v>5.7</v>
      </c>
      <c r="M114">
        <v>2.32</v>
      </c>
      <c r="N114">
        <v>0.4070175438596491</v>
      </c>
      <c r="O114">
        <v>44</v>
      </c>
      <c r="P114">
        <v>0.0930602902721327</v>
      </c>
      <c r="Q114">
        <v>0.277949887233884</v>
      </c>
      <c r="R114" t="s">
        <v>765</v>
      </c>
      <c r="S114" t="s">
        <v>770</v>
      </c>
      <c r="T114">
        <v>173242.687844</v>
      </c>
      <c r="U114" s="2">
        <v>44432</v>
      </c>
      <c r="V114" t="s">
        <v>784</v>
      </c>
    </row>
    <row r="115" spans="1:22">
      <c r="A115" s="1" t="s">
        <v>135</v>
      </c>
      <c r="B115">
        <f>HYPERLINK("https://www.suredividend.com/sure-analysis-UBSI/","United Bankshares, Inc.")</f>
        <v>0</v>
      </c>
      <c r="C115">
        <v>33.9</v>
      </c>
      <c r="D115">
        <v>33</v>
      </c>
      <c r="E115">
        <v>1.027272727272727</v>
      </c>
      <c r="F115">
        <v>0.04129793510324484</v>
      </c>
      <c r="G115">
        <v>-0.005367036303680184</v>
      </c>
      <c r="H115">
        <v>-0.02</v>
      </c>
      <c r="I115">
        <v>0.01915346113015581</v>
      </c>
      <c r="J115" t="s">
        <v>761</v>
      </c>
      <c r="K115" t="s">
        <v>761</v>
      </c>
      <c r="L115">
        <v>2.75</v>
      </c>
      <c r="M115">
        <v>1.4</v>
      </c>
      <c r="N115">
        <v>0.509090909090909</v>
      </c>
      <c r="O115">
        <v>46</v>
      </c>
      <c r="P115">
        <v>0.02056514630321193</v>
      </c>
      <c r="Q115">
        <v>0.679792120737552</v>
      </c>
      <c r="R115" t="s">
        <v>765</v>
      </c>
      <c r="S115" t="s">
        <v>773</v>
      </c>
      <c r="T115">
        <v>4351.577012</v>
      </c>
      <c r="U115" s="2">
        <v>44403</v>
      </c>
      <c r="V115" t="s">
        <v>785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36.71</v>
      </c>
      <c r="D116">
        <v>30</v>
      </c>
      <c r="E116">
        <v>1.223666666666667</v>
      </c>
      <c r="F116">
        <v>0.01688913102696813</v>
      </c>
      <c r="G116">
        <v>-0.03956633598233805</v>
      </c>
      <c r="H116">
        <v>0.04</v>
      </c>
      <c r="I116">
        <v>0.01778748873601166</v>
      </c>
      <c r="J116" t="s">
        <v>761</v>
      </c>
      <c r="K116" t="s">
        <v>762</v>
      </c>
      <c r="L116">
        <v>1.3</v>
      </c>
      <c r="M116">
        <v>0.62</v>
      </c>
      <c r="N116">
        <v>0.4769230769230769</v>
      </c>
      <c r="O116">
        <v>48</v>
      </c>
      <c r="P116">
        <v>0.04965621207400783</v>
      </c>
      <c r="Q116">
        <v>0.259712006630063</v>
      </c>
      <c r="R116" t="s">
        <v>765</v>
      </c>
      <c r="S116" t="s">
        <v>772</v>
      </c>
      <c r="T116">
        <v>953.099827</v>
      </c>
      <c r="U116" s="2">
        <v>44402</v>
      </c>
      <c r="V116" t="s">
        <v>785</v>
      </c>
    </row>
    <row r="117" spans="1:22">
      <c r="A117" s="1" t="s">
        <v>137</v>
      </c>
      <c r="B117">
        <f>HYPERLINK("https://www.suredividend.com/sure-analysis-CSVI/","Computer Services, Inc.")</f>
        <v>0</v>
      </c>
      <c r="C117">
        <v>56.58</v>
      </c>
      <c r="D117">
        <v>37</v>
      </c>
      <c r="E117">
        <v>1.529189189189189</v>
      </c>
      <c r="F117">
        <v>0.01908801696712619</v>
      </c>
      <c r="G117">
        <v>-0.081439520587822</v>
      </c>
      <c r="H117">
        <v>0.08</v>
      </c>
      <c r="I117">
        <v>0.01596690114592336</v>
      </c>
      <c r="J117" t="s">
        <v>761</v>
      </c>
      <c r="K117" t="s">
        <v>762</v>
      </c>
      <c r="L117">
        <v>2.15</v>
      </c>
      <c r="M117">
        <v>1.08</v>
      </c>
      <c r="N117">
        <v>0.5023255813953489</v>
      </c>
      <c r="O117">
        <v>50</v>
      </c>
      <c r="P117">
        <v>0.08178074106640287</v>
      </c>
      <c r="Q117">
        <v>-0.056446448583168</v>
      </c>
      <c r="R117" t="s">
        <v>765</v>
      </c>
      <c r="S117" t="s">
        <v>777</v>
      </c>
      <c r="T117">
        <v>1554.110132</v>
      </c>
      <c r="U117" s="2">
        <v>44385</v>
      </c>
      <c r="V117" t="s">
        <v>787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293.04</v>
      </c>
      <c r="D118">
        <v>205</v>
      </c>
      <c r="E118">
        <v>1.429463414634147</v>
      </c>
      <c r="F118">
        <v>0.007507507507507507</v>
      </c>
      <c r="G118">
        <v>-0.06896632154709048</v>
      </c>
      <c r="H118">
        <v>0.08</v>
      </c>
      <c r="I118">
        <v>0.01576136552659402</v>
      </c>
      <c r="J118" t="s">
        <v>761</v>
      </c>
      <c r="K118" t="s">
        <v>358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0.313875913852605</v>
      </c>
      <c r="R118" t="s">
        <v>765</v>
      </c>
      <c r="S118" t="s">
        <v>771</v>
      </c>
      <c r="T118">
        <v>77476.746207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HYPERLINK("https://www.suredividend.com/sure-analysis-MCD/","McDonald`s Corp")</f>
        <v>0</v>
      </c>
      <c r="C119">
        <v>246.68</v>
      </c>
      <c r="D119">
        <v>174</v>
      </c>
      <c r="E119">
        <v>1.417701149425287</v>
      </c>
      <c r="F119">
        <v>0.02091778822766337</v>
      </c>
      <c r="G119">
        <v>-0.0674265186391213</v>
      </c>
      <c r="H119">
        <v>0.06</v>
      </c>
      <c r="I119">
        <v>0.01343125075078433</v>
      </c>
      <c r="J119" t="s">
        <v>761</v>
      </c>
      <c r="K119" t="s">
        <v>762</v>
      </c>
      <c r="L119">
        <v>8.699999999999999</v>
      </c>
      <c r="M119">
        <v>5.16</v>
      </c>
      <c r="N119">
        <v>0.5931034482758621</v>
      </c>
      <c r="O119">
        <v>45</v>
      </c>
      <c r="P119">
        <v>0.06014597579570125</v>
      </c>
      <c r="Q119">
        <v>0.165204567708534</v>
      </c>
      <c r="R119" t="s">
        <v>765</v>
      </c>
      <c r="S119" t="s">
        <v>775</v>
      </c>
      <c r="T119">
        <v>182801.428623</v>
      </c>
      <c r="U119" s="2">
        <v>44408</v>
      </c>
      <c r="V119" t="s">
        <v>784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219.12</v>
      </c>
      <c r="D120">
        <v>166</v>
      </c>
      <c r="E120">
        <v>1.32</v>
      </c>
      <c r="F120">
        <v>0.004563709382986491</v>
      </c>
      <c r="G120">
        <v>-0.05401290088240229</v>
      </c>
      <c r="H120">
        <v>0.063</v>
      </c>
      <c r="I120">
        <v>0.01150747498170901</v>
      </c>
      <c r="J120" t="s">
        <v>761</v>
      </c>
      <c r="K120" t="s">
        <v>498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0.214053834110268</v>
      </c>
      <c r="R120" t="s">
        <v>765</v>
      </c>
      <c r="S120" t="s">
        <v>772</v>
      </c>
      <c r="T120">
        <v>3347.342816</v>
      </c>
      <c r="U120" s="2">
        <v>44424</v>
      </c>
      <c r="V120" t="s">
        <v>782</v>
      </c>
    </row>
    <row r="121" spans="1:22">
      <c r="A121" s="1" t="s">
        <v>141</v>
      </c>
      <c r="B121">
        <f>HYPERLINK("https://www.suredividend.com/sure-analysis-COST/","Costco Wholesale Corp")</f>
        <v>0</v>
      </c>
      <c r="C121">
        <v>463.865</v>
      </c>
      <c r="D121">
        <v>305</v>
      </c>
      <c r="E121">
        <v>1.520868852459016</v>
      </c>
      <c r="F121">
        <v>0.006812326862341414</v>
      </c>
      <c r="G121">
        <v>-0.08043666455676035</v>
      </c>
      <c r="H121">
        <v>0.09</v>
      </c>
      <c r="I121">
        <v>0.011230458239883</v>
      </c>
      <c r="J121" t="s">
        <v>761</v>
      </c>
      <c r="K121" t="s">
        <v>498</v>
      </c>
      <c r="L121">
        <v>10.5</v>
      </c>
      <c r="M121">
        <v>3.16</v>
      </c>
      <c r="N121">
        <v>0.300952380952381</v>
      </c>
      <c r="O121">
        <v>18</v>
      </c>
      <c r="P121">
        <v>0.1000340793951375</v>
      </c>
      <c r="Q121">
        <v>0.358928823859378</v>
      </c>
      <c r="R121" t="s">
        <v>765</v>
      </c>
      <c r="S121" t="s">
        <v>774</v>
      </c>
      <c r="T121">
        <v>200160.043023</v>
      </c>
      <c r="U121" s="2">
        <v>44351</v>
      </c>
      <c r="V121" t="s">
        <v>785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146.15</v>
      </c>
      <c r="D122">
        <v>99</v>
      </c>
      <c r="E122">
        <v>1.476262626262626</v>
      </c>
      <c r="F122">
        <v>0.006021211084502223</v>
      </c>
      <c r="G122">
        <v>-0.07494559620389496</v>
      </c>
      <c r="H122">
        <v>0.08</v>
      </c>
      <c r="I122">
        <v>0.007338464895622732</v>
      </c>
      <c r="J122" t="s">
        <v>761</v>
      </c>
      <c r="K122" t="s">
        <v>358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0.379522226627607</v>
      </c>
      <c r="R122" t="s">
        <v>765</v>
      </c>
      <c r="S122" t="s">
        <v>777</v>
      </c>
      <c r="T122">
        <v>2427124.27378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HYPERLINK("https://www.suredividend.com/sure-analysis-ABT/","Abbott Laboratories")</f>
        <v>0</v>
      </c>
      <c r="C123">
        <v>125.03</v>
      </c>
      <c r="D123">
        <v>88</v>
      </c>
      <c r="E123">
        <v>1.420795454545455</v>
      </c>
      <c r="F123">
        <v>0.01439654482924098</v>
      </c>
      <c r="G123">
        <v>-0.0678330773763054</v>
      </c>
      <c r="H123">
        <v>0.06</v>
      </c>
      <c r="I123">
        <v>0.006001491193866171</v>
      </c>
      <c r="J123" t="s">
        <v>761</v>
      </c>
      <c r="K123" t="s">
        <v>762</v>
      </c>
      <c r="L123">
        <v>4.4</v>
      </c>
      <c r="M123">
        <v>1.8</v>
      </c>
      <c r="N123">
        <v>0.4090909090909091</v>
      </c>
      <c r="O123">
        <v>49</v>
      </c>
      <c r="P123">
        <v>0.06961037572506878</v>
      </c>
      <c r="Q123">
        <v>0.237903763602863</v>
      </c>
      <c r="R123" t="s">
        <v>765</v>
      </c>
      <c r="S123" t="s">
        <v>770</v>
      </c>
      <c r="T123">
        <v>222134.01383</v>
      </c>
      <c r="U123" s="2">
        <v>44399</v>
      </c>
      <c r="V123" t="s">
        <v>784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211.82</v>
      </c>
      <c r="D124">
        <v>175</v>
      </c>
      <c r="E124">
        <v>1.2104</v>
      </c>
      <c r="F124">
        <v>0.02039467472382211</v>
      </c>
      <c r="G124">
        <v>-0.03747012726920695</v>
      </c>
      <c r="H124">
        <v>0.02</v>
      </c>
      <c r="I124">
        <v>0.005729295256438283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0.7927234331423041</v>
      </c>
      <c r="R124" t="s">
        <v>765</v>
      </c>
      <c r="S124" t="s">
        <v>773</v>
      </c>
      <c r="T124">
        <v>48124.236045</v>
      </c>
      <c r="U124" s="2">
        <v>44413</v>
      </c>
      <c r="V124" t="s">
        <v>784</v>
      </c>
    </row>
    <row r="125" spans="1:22">
      <c r="A125" s="1" t="s">
        <v>145</v>
      </c>
      <c r="B125">
        <f>HYPERLINK("https://www.suredividend.com/sure-analysis-MSFT/","Microsoft Corporation")</f>
        <v>0</v>
      </c>
      <c r="C125">
        <v>297.91</v>
      </c>
      <c r="D125">
        <v>204</v>
      </c>
      <c r="E125">
        <v>1.460343137254902</v>
      </c>
      <c r="F125">
        <v>0.008324661810613943</v>
      </c>
      <c r="G125">
        <v>-0.07293749334955058</v>
      </c>
      <c r="H125">
        <v>0.07000000000000001</v>
      </c>
      <c r="I125">
        <v>0.002936448973090977</v>
      </c>
      <c r="J125" t="s">
        <v>761</v>
      </c>
      <c r="K125" t="s">
        <v>358</v>
      </c>
      <c r="L125">
        <v>8.5</v>
      </c>
      <c r="M125">
        <v>2.48</v>
      </c>
      <c r="N125">
        <v>0.2917647058823529</v>
      </c>
      <c r="O125">
        <v>20</v>
      </c>
      <c r="P125">
        <v>0.09024056365188593</v>
      </c>
      <c r="Q125">
        <v>0.5070980413662091</v>
      </c>
      <c r="R125" t="s">
        <v>765</v>
      </c>
      <c r="S125" t="s">
        <v>777</v>
      </c>
      <c r="T125">
        <v>2251160.822251</v>
      </c>
      <c r="U125" s="2">
        <v>44408</v>
      </c>
      <c r="V125" t="s">
        <v>784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310.77</v>
      </c>
      <c r="D126">
        <v>214</v>
      </c>
      <c r="E126">
        <v>1.452196261682243</v>
      </c>
      <c r="F126">
        <v>0.01364353058532033</v>
      </c>
      <c r="G126">
        <v>-0.07189964858643616</v>
      </c>
      <c r="H126">
        <v>0.06</v>
      </c>
      <c r="I126">
        <v>0.001097421499495876</v>
      </c>
      <c r="J126" t="s">
        <v>761</v>
      </c>
      <c r="K126" t="s">
        <v>358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0.3512048609765751</v>
      </c>
      <c r="R126" t="s">
        <v>765</v>
      </c>
      <c r="S126" t="s">
        <v>771</v>
      </c>
      <c r="T126">
        <v>160278.581388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HYPERLINK("https://www.suredividend.com/sure-analysis-MSA/","MSA Safety Inc")</f>
        <v>0</v>
      </c>
      <c r="C127">
        <v>144.85</v>
      </c>
      <c r="D127">
        <v>100</v>
      </c>
      <c r="E127">
        <v>1.4485</v>
      </c>
      <c r="F127">
        <v>0.01215050051777701</v>
      </c>
      <c r="G127">
        <v>-0.07142646866851288</v>
      </c>
      <c r="H127">
        <v>0.06</v>
      </c>
      <c r="I127">
        <v>-0.0002293209525454643</v>
      </c>
      <c r="J127" t="s">
        <v>761</v>
      </c>
      <c r="K127" t="s">
        <v>762</v>
      </c>
      <c r="L127">
        <v>4.75</v>
      </c>
      <c r="M127">
        <v>1.76</v>
      </c>
      <c r="N127">
        <v>0.3705263157894737</v>
      </c>
      <c r="O127">
        <v>50</v>
      </c>
      <c r="P127">
        <v>0.07099588603959828</v>
      </c>
      <c r="Q127">
        <v>0.135454993975894</v>
      </c>
      <c r="R127" t="s">
        <v>765</v>
      </c>
      <c r="S127" t="s">
        <v>772</v>
      </c>
      <c r="T127">
        <v>5754.213667</v>
      </c>
      <c r="U127" s="2">
        <v>44409</v>
      </c>
      <c r="V127" t="s">
        <v>784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120.92</v>
      </c>
      <c r="D128">
        <v>79</v>
      </c>
      <c r="E128">
        <v>1.530632911392405</v>
      </c>
      <c r="F128">
        <v>0.01240489579887529</v>
      </c>
      <c r="G128">
        <v>-0.08161286676000357</v>
      </c>
      <c r="H128">
        <v>0.07000000000000001</v>
      </c>
      <c r="I128">
        <v>-0.002373132078641871</v>
      </c>
      <c r="J128" t="s">
        <v>761</v>
      </c>
      <c r="K128" t="s">
        <v>358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0.091145499892697</v>
      </c>
      <c r="R128" t="s">
        <v>765</v>
      </c>
      <c r="S128" t="s">
        <v>775</v>
      </c>
      <c r="T128">
        <v>7981.758974</v>
      </c>
      <c r="U128" s="2">
        <v>44411</v>
      </c>
      <c r="V128" t="s">
        <v>786</v>
      </c>
    </row>
    <row r="129" spans="1:22">
      <c r="A129" s="1" t="s">
        <v>149</v>
      </c>
      <c r="B129">
        <f>HYPERLINK("https://www.suredividend.com/sure-analysis-AMAT/","Applied Materials Inc.")</f>
        <v>0</v>
      </c>
      <c r="C129">
        <v>141.16</v>
      </c>
      <c r="D129">
        <v>103</v>
      </c>
      <c r="E129">
        <v>1.370485436893204</v>
      </c>
      <c r="F129">
        <v>0.006800793425899688</v>
      </c>
      <c r="G129">
        <v>-0.06108751292050629</v>
      </c>
      <c r="H129">
        <v>0.05</v>
      </c>
      <c r="I129">
        <v>-0.004641374688670763</v>
      </c>
      <c r="J129" t="s">
        <v>761</v>
      </c>
      <c r="K129" t="s">
        <v>498</v>
      </c>
      <c r="L129">
        <v>6.85</v>
      </c>
      <c r="M129">
        <v>0.96</v>
      </c>
      <c r="N129">
        <v>0.1401459854014599</v>
      </c>
      <c r="O129">
        <v>4</v>
      </c>
      <c r="P129">
        <v>0.1005558662160053</v>
      </c>
      <c r="Q129">
        <v>1.485678854026479</v>
      </c>
      <c r="R129" t="s">
        <v>765</v>
      </c>
      <c r="S129" t="s">
        <v>777</v>
      </c>
      <c r="T129">
        <v>127412.240635</v>
      </c>
      <c r="U129" s="2">
        <v>44430</v>
      </c>
      <c r="V129" t="s">
        <v>785</v>
      </c>
    </row>
    <row r="130" spans="1:22">
      <c r="A130" s="1" t="s">
        <v>150</v>
      </c>
      <c r="B130">
        <f>HYPERLINK("https://www.suredividend.com/sure-analysis-AXP/","American Express Co.")</f>
        <v>0</v>
      </c>
      <c r="C130">
        <v>175.15</v>
      </c>
      <c r="D130">
        <v>113</v>
      </c>
      <c r="E130">
        <v>1.55</v>
      </c>
      <c r="F130">
        <v>0.009820154153582642</v>
      </c>
      <c r="G130">
        <v>-0.0839194542993893</v>
      </c>
      <c r="H130">
        <v>0.07000000000000001</v>
      </c>
      <c r="I130">
        <v>-0.006661220872041462</v>
      </c>
      <c r="J130" t="s">
        <v>761</v>
      </c>
      <c r="K130" t="s">
        <v>358</v>
      </c>
      <c r="L130">
        <v>7.5</v>
      </c>
      <c r="M130">
        <v>1.72</v>
      </c>
      <c r="N130">
        <v>0.2293333333333333</v>
      </c>
      <c r="O130">
        <v>9</v>
      </c>
      <c r="P130">
        <v>0.08023542380212056</v>
      </c>
      <c r="Q130">
        <v>0.838392022040343</v>
      </c>
      <c r="R130" t="s">
        <v>765</v>
      </c>
      <c r="S130" t="s">
        <v>773</v>
      </c>
      <c r="T130">
        <v>137722.918055</v>
      </c>
      <c r="U130" s="2">
        <v>44400</v>
      </c>
      <c r="V130" t="s">
        <v>783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400.145</v>
      </c>
      <c r="D131">
        <v>265</v>
      </c>
      <c r="E131">
        <v>1.509981132075472</v>
      </c>
      <c r="F131">
        <v>0.009496557497907008</v>
      </c>
      <c r="G131">
        <v>-0.07911437037774405</v>
      </c>
      <c r="H131">
        <v>0.06</v>
      </c>
      <c r="I131">
        <v>-0.01020022397085474</v>
      </c>
      <c r="J131" t="s">
        <v>761</v>
      </c>
      <c r="K131" t="s">
        <v>358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0.279883078230615</v>
      </c>
      <c r="R131" t="s">
        <v>765</v>
      </c>
      <c r="S131" t="s">
        <v>772</v>
      </c>
      <c r="T131">
        <v>41788.860974</v>
      </c>
      <c r="U131" s="2">
        <v>44395</v>
      </c>
      <c r="V131" t="s">
        <v>785</v>
      </c>
    </row>
    <row r="132" spans="1:22">
      <c r="A132" s="1" t="s">
        <v>152</v>
      </c>
      <c r="B132">
        <f>HYPERLINK("https://www.suredividend.com/sure-analysis-MGEE/","MGE Energy, Inc.")</f>
        <v>0</v>
      </c>
      <c r="C132">
        <v>75.42</v>
      </c>
      <c r="D132">
        <v>52.2</v>
      </c>
      <c r="E132">
        <v>1.444827586206896</v>
      </c>
      <c r="F132">
        <v>0.02055157783081411</v>
      </c>
      <c r="G132">
        <v>-0.07095490452092723</v>
      </c>
      <c r="H132">
        <v>0.038</v>
      </c>
      <c r="I132">
        <v>-0.01109405065226676</v>
      </c>
      <c r="J132" t="s">
        <v>761</v>
      </c>
      <c r="K132" t="s">
        <v>762</v>
      </c>
      <c r="L132">
        <v>2.9</v>
      </c>
      <c r="M132">
        <v>1.55</v>
      </c>
      <c r="N132">
        <v>0.5344827586206897</v>
      </c>
      <c r="O132">
        <v>46</v>
      </c>
      <c r="P132">
        <v>0.02805810383354745</v>
      </c>
      <c r="Q132">
        <v>0.273098328362139</v>
      </c>
      <c r="R132" t="s">
        <v>765</v>
      </c>
      <c r="S132" t="s">
        <v>776</v>
      </c>
      <c r="T132">
        <v>2727.441365</v>
      </c>
      <c r="U132" s="2">
        <v>44420</v>
      </c>
      <c r="V132" t="s">
        <v>790</v>
      </c>
    </row>
    <row r="133" spans="1:22">
      <c r="A133" s="1" t="s">
        <v>153</v>
      </c>
      <c r="B133">
        <f>HYPERLINK("https://www.suredividend.com/sure-analysis-TXT/","Textron Inc.")</f>
        <v>0</v>
      </c>
      <c r="C133">
        <v>71.31999999999999</v>
      </c>
      <c r="D133">
        <v>50</v>
      </c>
      <c r="E133">
        <v>1.4264</v>
      </c>
      <c r="F133">
        <v>0.001121704991587213</v>
      </c>
      <c r="G133">
        <v>-0.06856675688340974</v>
      </c>
      <c r="H133">
        <v>0.06</v>
      </c>
      <c r="I133">
        <v>-0.01150312314975521</v>
      </c>
      <c r="J133" t="s">
        <v>761</v>
      </c>
      <c r="K133" t="s">
        <v>498</v>
      </c>
      <c r="L133">
        <v>3.1</v>
      </c>
      <c r="M133">
        <v>0.08</v>
      </c>
      <c r="N133">
        <v>0.02580645161290323</v>
      </c>
      <c r="O133">
        <v>0</v>
      </c>
      <c r="P133">
        <v>0</v>
      </c>
      <c r="Q133">
        <v>1.050499964031364</v>
      </c>
      <c r="R133" t="s">
        <v>765</v>
      </c>
      <c r="S133" t="s">
        <v>772</v>
      </c>
      <c r="T133">
        <v>15972.071243</v>
      </c>
      <c r="U133" s="2">
        <v>44409</v>
      </c>
      <c r="V133" t="s">
        <v>788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225.05</v>
      </c>
      <c r="D134">
        <v>106</v>
      </c>
      <c r="E134">
        <v>2.12311320754717</v>
      </c>
      <c r="F134">
        <v>0.008531437458342589</v>
      </c>
      <c r="G134">
        <v>-0.1397882517321443</v>
      </c>
      <c r="H134">
        <v>0.13</v>
      </c>
      <c r="I134">
        <v>-0.01568453443759554</v>
      </c>
      <c r="J134" t="s">
        <v>761</v>
      </c>
      <c r="K134" t="s">
        <v>358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0.15714122549473</v>
      </c>
      <c r="R134" t="s">
        <v>765</v>
      </c>
      <c r="S134" t="s">
        <v>771</v>
      </c>
      <c r="T134">
        <v>64054.92923</v>
      </c>
      <c r="U134" s="2">
        <v>44424</v>
      </c>
      <c r="V134" t="s">
        <v>787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68.83</v>
      </c>
      <c r="D135">
        <v>42</v>
      </c>
      <c r="E135">
        <v>1.638809523809524</v>
      </c>
      <c r="F135">
        <v>0.01046055499055644</v>
      </c>
      <c r="G135">
        <v>-0.09407070391472061</v>
      </c>
      <c r="H135">
        <v>0.07000000000000001</v>
      </c>
      <c r="I135">
        <v>-0.01692352223625493</v>
      </c>
      <c r="J135" t="s">
        <v>761</v>
      </c>
      <c r="K135" t="s">
        <v>358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-0.08083160684947201</v>
      </c>
      <c r="R135" t="s">
        <v>765</v>
      </c>
      <c r="S135" t="s">
        <v>774</v>
      </c>
      <c r="T135">
        <v>32159.503727</v>
      </c>
      <c r="U135" s="2">
        <v>44453</v>
      </c>
      <c r="V135" t="s">
        <v>783</v>
      </c>
    </row>
    <row r="136" spans="1:22">
      <c r="A136" s="1" t="s">
        <v>156</v>
      </c>
      <c r="B136">
        <f>HYPERLINK("https://www.suredividend.com/sure-analysis-NDSN/","Nordson Corp.")</f>
        <v>0</v>
      </c>
      <c r="C136">
        <v>244.76</v>
      </c>
      <c r="D136">
        <v>165</v>
      </c>
      <c r="E136">
        <v>1.483393939393939</v>
      </c>
      <c r="F136">
        <v>0.008334695211635889</v>
      </c>
      <c r="G136">
        <v>-0.07583673843118288</v>
      </c>
      <c r="H136">
        <v>0.05</v>
      </c>
      <c r="I136">
        <v>-0.01799273508354049</v>
      </c>
      <c r="J136" t="s">
        <v>761</v>
      </c>
      <c r="K136" t="s">
        <v>358</v>
      </c>
      <c r="L136">
        <v>7.85</v>
      </c>
      <c r="M136">
        <v>2.04</v>
      </c>
      <c r="N136">
        <v>0.2598726114649682</v>
      </c>
      <c r="O136">
        <v>58</v>
      </c>
      <c r="P136">
        <v>0.0801851873035635</v>
      </c>
      <c r="Q136">
        <v>0.348909999299425</v>
      </c>
      <c r="R136" t="s">
        <v>765</v>
      </c>
      <c r="S136" t="s">
        <v>772</v>
      </c>
      <c r="T136">
        <v>14210.751645</v>
      </c>
      <c r="U136" s="2">
        <v>44439</v>
      </c>
      <c r="V136" t="s">
        <v>784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279.45</v>
      </c>
      <c r="D137">
        <v>168</v>
      </c>
      <c r="E137">
        <v>1.663392857142857</v>
      </c>
      <c r="F137">
        <v>0.004508856682769726</v>
      </c>
      <c r="G137">
        <v>-0.09676442687207776</v>
      </c>
      <c r="H137">
        <v>0.07000000000000001</v>
      </c>
      <c r="I137">
        <v>-0.02707898011974796</v>
      </c>
      <c r="J137" t="s">
        <v>761</v>
      </c>
      <c r="K137" t="s">
        <v>498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0.8150010790731741</v>
      </c>
      <c r="R137" t="s">
        <v>765</v>
      </c>
      <c r="S137" t="s">
        <v>773</v>
      </c>
      <c r="T137">
        <v>11952.26545</v>
      </c>
      <c r="U137" s="2">
        <v>44410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60.33</v>
      </c>
      <c r="D138">
        <v>36</v>
      </c>
      <c r="E138">
        <v>1.675833333333333</v>
      </c>
      <c r="F138">
        <v>0.01524946129620421</v>
      </c>
      <c r="G138">
        <v>-0.09810945275429539</v>
      </c>
      <c r="H138">
        <v>0.05</v>
      </c>
      <c r="I138">
        <v>-0.03137911172558006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0.4542713273610861</v>
      </c>
      <c r="R138" t="s">
        <v>765</v>
      </c>
      <c r="S138" t="s">
        <v>776</v>
      </c>
      <c r="T138">
        <v>3030.27435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87.81999999999999</v>
      </c>
      <c r="D139">
        <v>61.3</v>
      </c>
      <c r="E139">
        <v>1.432626427406199</v>
      </c>
      <c r="F139">
        <v>0.01662491459804145</v>
      </c>
      <c r="G139">
        <v>-0.06937780014815464</v>
      </c>
      <c r="H139">
        <v>0.014</v>
      </c>
      <c r="I139">
        <v>-0.03516440769070817</v>
      </c>
      <c r="J139" t="s">
        <v>761</v>
      </c>
      <c r="K139" t="s">
        <v>762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0.231175857657998</v>
      </c>
      <c r="R139" t="s">
        <v>765</v>
      </c>
      <c r="S139" t="s">
        <v>776</v>
      </c>
      <c r="T139">
        <v>3220.450431</v>
      </c>
      <c r="U139" s="2">
        <v>44421</v>
      </c>
      <c r="V139" t="s">
        <v>790</v>
      </c>
    </row>
    <row r="140" spans="1:22">
      <c r="A140" s="1" t="s">
        <v>160</v>
      </c>
      <c r="B140">
        <f>HYPERLINK("https://www.suredividend.com/sure-analysis-ZTS/","Zoetis Inc")</f>
        <v>0</v>
      </c>
      <c r="C140">
        <v>204.91</v>
      </c>
      <c r="D140">
        <v>92</v>
      </c>
      <c r="E140">
        <v>2.227282608695652</v>
      </c>
      <c r="F140">
        <v>0.004880191303499097</v>
      </c>
      <c r="G140">
        <v>-0.1479895238348585</v>
      </c>
      <c r="H140">
        <v>0.12</v>
      </c>
      <c r="I140">
        <v>-0.03679493745137252</v>
      </c>
      <c r="J140" t="s">
        <v>761</v>
      </c>
      <c r="K140" t="s">
        <v>498</v>
      </c>
      <c r="L140">
        <v>4.4</v>
      </c>
      <c r="M140">
        <v>1</v>
      </c>
      <c r="N140">
        <v>0.2272727272727273</v>
      </c>
      <c r="O140">
        <v>8</v>
      </c>
      <c r="P140">
        <v>0.1498447628234807</v>
      </c>
      <c r="Q140">
        <v>0.289971731653616</v>
      </c>
      <c r="R140" t="s">
        <v>765</v>
      </c>
      <c r="S140" t="s">
        <v>770</v>
      </c>
      <c r="T140">
        <v>97021.115749</v>
      </c>
      <c r="U140" s="2">
        <v>44417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101</v>
      </c>
      <c r="D141">
        <v>67</v>
      </c>
      <c r="E141">
        <v>1.507462686567164</v>
      </c>
      <c r="F141">
        <v>0.009900990099009901</v>
      </c>
      <c r="G141">
        <v>-0.07880687991454971</v>
      </c>
      <c r="H141">
        <v>0.03</v>
      </c>
      <c r="I141">
        <v>-0.03737727818688785</v>
      </c>
      <c r="J141" t="s">
        <v>761</v>
      </c>
      <c r="K141" t="s">
        <v>358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0.247609428525158</v>
      </c>
      <c r="R141" t="s">
        <v>765</v>
      </c>
      <c r="S141" t="s">
        <v>773</v>
      </c>
      <c r="T141">
        <v>4561.930963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102.27</v>
      </c>
      <c r="D142">
        <v>60</v>
      </c>
      <c r="E142">
        <v>1.7045</v>
      </c>
      <c r="F142">
        <v>0.0158404224112643</v>
      </c>
      <c r="G142">
        <v>-0.1011637091821264</v>
      </c>
      <c r="H142">
        <v>0.037</v>
      </c>
      <c r="I142">
        <v>-0.04654336137478599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1.283744974152786</v>
      </c>
      <c r="R142" t="s">
        <v>765</v>
      </c>
      <c r="S142" t="s">
        <v>771</v>
      </c>
      <c r="T142">
        <v>29193.23668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228.035</v>
      </c>
      <c r="D143">
        <v>97</v>
      </c>
      <c r="E143">
        <v>2.350876288659794</v>
      </c>
      <c r="F143">
        <v>0.006841055101190607</v>
      </c>
      <c r="G143">
        <v>-0.157142714990525</v>
      </c>
      <c r="H143">
        <v>0.1</v>
      </c>
      <c r="I143">
        <v>-0.06108159602775021</v>
      </c>
      <c r="J143" t="s">
        <v>761</v>
      </c>
      <c r="K143" t="s">
        <v>498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1.875680017067094</v>
      </c>
      <c r="R143" t="s">
        <v>765</v>
      </c>
      <c r="S143" t="s">
        <v>771</v>
      </c>
      <c r="T143">
        <v>26799.062023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55.41</v>
      </c>
      <c r="D144">
        <v>26</v>
      </c>
      <c r="E144">
        <v>2.131153846153846</v>
      </c>
      <c r="F144">
        <v>0.009384587619563256</v>
      </c>
      <c r="G144">
        <v>-0.1404383327990549</v>
      </c>
      <c r="H144">
        <v>0.07000000000000001</v>
      </c>
      <c r="I144">
        <v>-0.06504987011815644</v>
      </c>
      <c r="J144" t="s">
        <v>761</v>
      </c>
      <c r="K144" t="s">
        <v>498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0.786162722316702</v>
      </c>
      <c r="R144" t="s">
        <v>765</v>
      </c>
      <c r="S144" t="s">
        <v>773</v>
      </c>
      <c r="T144">
        <v>92091.979601</v>
      </c>
      <c r="U144" s="2">
        <v>44436</v>
      </c>
      <c r="V144" t="s">
        <v>785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454.59</v>
      </c>
      <c r="D145">
        <v>195</v>
      </c>
      <c r="E145">
        <v>2.331230769230769</v>
      </c>
      <c r="F145">
        <v>0.001495853406366176</v>
      </c>
      <c r="G145">
        <v>-0.155726910573021</v>
      </c>
      <c r="H145">
        <v>0.09</v>
      </c>
      <c r="I145">
        <v>-0.07711300499361295</v>
      </c>
      <c r="J145" t="s">
        <v>761</v>
      </c>
      <c r="K145" t="s">
        <v>358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0.69934869872267</v>
      </c>
      <c r="R145" t="s">
        <v>765</v>
      </c>
      <c r="S145" t="s">
        <v>770</v>
      </c>
      <c r="T145">
        <v>33676.759984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105.05</v>
      </c>
      <c r="D146">
        <v>50</v>
      </c>
      <c r="E146">
        <v>2.101</v>
      </c>
      <c r="F146">
        <v>0.007615421227986674</v>
      </c>
      <c r="G146">
        <v>-0.1379850666293069</v>
      </c>
      <c r="H146">
        <v>0.05</v>
      </c>
      <c r="I146">
        <v>-0.08047702936112489</v>
      </c>
      <c r="J146" t="s">
        <v>761</v>
      </c>
      <c r="K146" t="s">
        <v>498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0.6768726062360041</v>
      </c>
      <c r="R146" t="s">
        <v>765</v>
      </c>
      <c r="S146" t="s">
        <v>772</v>
      </c>
      <c r="T146">
        <v>3063.229816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104.76</v>
      </c>
      <c r="D147">
        <v>50.8</v>
      </c>
      <c r="E147">
        <v>2.062204724409449</v>
      </c>
      <c r="F147">
        <v>0.01040473463153876</v>
      </c>
      <c r="G147">
        <v>-0.1347658655495227</v>
      </c>
      <c r="H147">
        <v>0.035</v>
      </c>
      <c r="I147">
        <v>-0.08795841258163795</v>
      </c>
      <c r="J147" t="s">
        <v>761</v>
      </c>
      <c r="K147" t="s">
        <v>358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0.786551595256701</v>
      </c>
      <c r="R147" t="s">
        <v>765</v>
      </c>
      <c r="S147" t="s">
        <v>776</v>
      </c>
      <c r="T147">
        <v>1839.307395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77.90000000000001</v>
      </c>
      <c r="D148">
        <v>74</v>
      </c>
      <c r="E148">
        <v>1.052702702702703</v>
      </c>
      <c r="F148">
        <v>0.02772785622593068</v>
      </c>
      <c r="G148">
        <v>-0.01021959336242906</v>
      </c>
      <c r="H148">
        <v>-0.32</v>
      </c>
      <c r="I148">
        <v>-0.219527901414081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0.448852279171818</v>
      </c>
      <c r="R148" t="s">
        <v>765</v>
      </c>
      <c r="S148" t="s">
        <v>773</v>
      </c>
      <c r="T148">
        <v>1148.295975</v>
      </c>
      <c r="U148" s="2">
        <v>44414</v>
      </c>
      <c r="V148" t="s">
        <v>785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13.65</v>
      </c>
      <c r="D149">
        <v>19.2</v>
      </c>
      <c r="E149">
        <v>0.7109375</v>
      </c>
      <c r="F149">
        <v>0.04835164835164835</v>
      </c>
      <c r="G149">
        <v>0.07061596544519233</v>
      </c>
      <c r="H149">
        <v>0.07000000000000001</v>
      </c>
      <c r="I149">
        <v>0.1782881161317496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-0.343753155032908</v>
      </c>
      <c r="R149" t="s">
        <v>765</v>
      </c>
      <c r="S149" t="s">
        <v>773</v>
      </c>
      <c r="T149">
        <v>50829.712424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349.38</v>
      </c>
      <c r="D150">
        <v>430</v>
      </c>
      <c r="E150">
        <v>0.8125116279069767</v>
      </c>
      <c r="F150">
        <v>0.02976701585666037</v>
      </c>
      <c r="G150">
        <v>0.04239923268297785</v>
      </c>
      <c r="H150">
        <v>0.08</v>
      </c>
      <c r="I150">
        <v>0.1483502871297704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-0.07585754352088001</v>
      </c>
      <c r="R150" t="s">
        <v>765</v>
      </c>
      <c r="S150" t="s">
        <v>772</v>
      </c>
      <c r="T150">
        <v>95314.656202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27.32</v>
      </c>
      <c r="D151">
        <v>36</v>
      </c>
      <c r="E151">
        <v>0.7588888888888889</v>
      </c>
      <c r="F151">
        <v>0.07613469985358712</v>
      </c>
      <c r="G151">
        <v>0.05673078876179694</v>
      </c>
      <c r="H151">
        <v>0.03</v>
      </c>
      <c r="I151">
        <v>0.1405378118482055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0.028408897495735</v>
      </c>
      <c r="R151" t="s">
        <v>765</v>
      </c>
      <c r="S151" t="s">
        <v>769</v>
      </c>
      <c r="T151">
        <v>194136.6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132.9</v>
      </c>
      <c r="D152">
        <v>174</v>
      </c>
      <c r="E152">
        <v>0.7637931034482759</v>
      </c>
      <c r="F152">
        <v>0.008728367193378479</v>
      </c>
      <c r="G152">
        <v>0.05537026421745828</v>
      </c>
      <c r="H152">
        <v>0.065</v>
      </c>
      <c r="I152">
        <v>0.1308047007724262</v>
      </c>
      <c r="J152" t="s">
        <v>762</v>
      </c>
      <c r="K152" t="s">
        <v>498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-0.01353136465331</v>
      </c>
      <c r="R152" t="s">
        <v>765</v>
      </c>
      <c r="S152" t="s">
        <v>771</v>
      </c>
      <c r="T152">
        <v>25388.384805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214.79</v>
      </c>
      <c r="D153">
        <v>221</v>
      </c>
      <c r="E153">
        <v>0.9719004524886877</v>
      </c>
      <c r="F153">
        <v>0.03277620000931143</v>
      </c>
      <c r="G153">
        <v>0.005716657056278107</v>
      </c>
      <c r="H153">
        <v>0.09</v>
      </c>
      <c r="I153">
        <v>0.1243577774923297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-0.08755291493006101</v>
      </c>
      <c r="R153" t="s">
        <v>765</v>
      </c>
      <c r="S153" t="s">
        <v>770</v>
      </c>
      <c r="T153">
        <v>122116.648513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HYPERLINK("https://www.suredividend.com/sure-analysis-VZ/","Verizon Communications Inc")</f>
        <v>0</v>
      </c>
      <c r="C154">
        <v>54.415</v>
      </c>
      <c r="D154">
        <v>69</v>
      </c>
      <c r="E154">
        <v>0.788623188405797</v>
      </c>
      <c r="F154">
        <v>0.04704585132775889</v>
      </c>
      <c r="G154">
        <v>0.04863920739785077</v>
      </c>
      <c r="H154">
        <v>0.04</v>
      </c>
      <c r="I154">
        <v>0.1238287699860157</v>
      </c>
      <c r="J154" t="s">
        <v>762</v>
      </c>
      <c r="K154" t="s">
        <v>761</v>
      </c>
      <c r="L154">
        <v>5.3</v>
      </c>
      <c r="M154">
        <v>2.56</v>
      </c>
      <c r="N154">
        <v>0.4830188679245283</v>
      </c>
      <c r="O154">
        <v>15</v>
      </c>
      <c r="P154">
        <v>0.02025632080394812</v>
      </c>
      <c r="Q154">
        <v>-0.025696755724165</v>
      </c>
      <c r="R154" t="s">
        <v>765</v>
      </c>
      <c r="S154" t="s">
        <v>769</v>
      </c>
      <c r="T154">
        <v>225305.113101</v>
      </c>
      <c r="U154" s="2">
        <v>44398</v>
      </c>
      <c r="V154" t="s">
        <v>781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47.22</v>
      </c>
      <c r="D155">
        <v>57</v>
      </c>
      <c r="E155">
        <v>0.8284210526315789</v>
      </c>
      <c r="F155">
        <v>0.03981363828886065</v>
      </c>
      <c r="G155">
        <v>0.03836436300155932</v>
      </c>
      <c r="H155">
        <v>0.05</v>
      </c>
      <c r="I155">
        <v>0.1203441758422572</v>
      </c>
      <c r="J155" t="s">
        <v>762</v>
      </c>
      <c r="K155" t="s">
        <v>762</v>
      </c>
      <c r="L155">
        <v>4.41</v>
      </c>
      <c r="M155">
        <v>1.88</v>
      </c>
      <c r="N155">
        <v>0.4263038548752834</v>
      </c>
      <c r="O155">
        <v>0</v>
      </c>
      <c r="P155">
        <v>0.04024473558263919</v>
      </c>
      <c r="Q155">
        <v>0.5425277254930251</v>
      </c>
      <c r="R155" t="s">
        <v>766</v>
      </c>
      <c r="S155" t="s">
        <v>773</v>
      </c>
      <c r="T155">
        <v>5304.516921</v>
      </c>
      <c r="U155" s="2">
        <v>44423</v>
      </c>
      <c r="V155" t="s">
        <v>788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61.445</v>
      </c>
      <c r="D156">
        <v>71</v>
      </c>
      <c r="E156">
        <v>0.8654225352112677</v>
      </c>
      <c r="F156">
        <v>0.04231426478964928</v>
      </c>
      <c r="G156">
        <v>0.02932935884468901</v>
      </c>
      <c r="H156">
        <v>0.055</v>
      </c>
      <c r="I156">
        <v>0.1191645933417944</v>
      </c>
      <c r="J156" t="s">
        <v>762</v>
      </c>
      <c r="K156" t="s">
        <v>761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0.228684491159317</v>
      </c>
      <c r="R156" t="s">
        <v>765</v>
      </c>
      <c r="S156" t="s">
        <v>776</v>
      </c>
      <c r="T156">
        <v>3150.147114</v>
      </c>
      <c r="U156" s="2">
        <v>44432</v>
      </c>
      <c r="V156" t="s">
        <v>786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35.15</v>
      </c>
      <c r="D157">
        <v>40</v>
      </c>
      <c r="E157">
        <v>0.8787499999999999</v>
      </c>
      <c r="F157">
        <v>0.03783783783783784</v>
      </c>
      <c r="G157">
        <v>0.02618800137618926</v>
      </c>
      <c r="H157">
        <v>0.06</v>
      </c>
      <c r="I157">
        <v>0.1182964894278906</v>
      </c>
      <c r="J157" t="s">
        <v>762</v>
      </c>
      <c r="K157" t="s">
        <v>761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0.380664390528532</v>
      </c>
      <c r="R157" t="s">
        <v>765</v>
      </c>
      <c r="S157" t="s">
        <v>776</v>
      </c>
      <c r="T157">
        <v>3377.115213</v>
      </c>
      <c r="U157" s="2">
        <v>44418</v>
      </c>
      <c r="V157" t="s">
        <v>782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56.1</v>
      </c>
      <c r="D158">
        <v>58</v>
      </c>
      <c r="E158">
        <v>0.9672413793103448</v>
      </c>
      <c r="F158">
        <v>0.017825311942959</v>
      </c>
      <c r="G158">
        <v>0.006683676341155964</v>
      </c>
      <c r="H158">
        <v>0.09</v>
      </c>
      <c r="I158">
        <v>0.1128863301282108</v>
      </c>
      <c r="J158" t="s">
        <v>762</v>
      </c>
      <c r="K158" t="s">
        <v>358</v>
      </c>
      <c r="L158">
        <v>2.92</v>
      </c>
      <c r="M158">
        <v>1</v>
      </c>
      <c r="N158">
        <v>0.3424657534246575</v>
      </c>
      <c r="O158">
        <v>13</v>
      </c>
      <c r="P158">
        <v>0.09019489529987834</v>
      </c>
      <c r="Q158">
        <v>0.255987013045092</v>
      </c>
      <c r="R158" t="s">
        <v>765</v>
      </c>
      <c r="S158" t="s">
        <v>769</v>
      </c>
      <c r="T158">
        <v>257275.049609</v>
      </c>
      <c r="U158" s="2">
        <v>44417</v>
      </c>
      <c r="V158" t="s">
        <v>789</v>
      </c>
    </row>
    <row r="159" spans="1:22">
      <c r="A159" s="1" t="s">
        <v>179</v>
      </c>
      <c r="B159">
        <f>HYPERLINK("https://www.suredividend.com/sure-analysis-SLF/","Sun Life Financial, Inc.")</f>
        <v>0</v>
      </c>
      <c r="C159">
        <v>50.385</v>
      </c>
      <c r="D159">
        <v>53</v>
      </c>
      <c r="E159">
        <v>0.9506603773584905</v>
      </c>
      <c r="F159">
        <v>0.03473255929344051</v>
      </c>
      <c r="G159">
        <v>0.01017105748973335</v>
      </c>
      <c r="H159">
        <v>0.07000000000000001</v>
      </c>
      <c r="I159">
        <v>0.111350805919195</v>
      </c>
      <c r="J159" t="s">
        <v>762</v>
      </c>
      <c r="K159" t="s">
        <v>762</v>
      </c>
      <c r="L159">
        <v>4.8</v>
      </c>
      <c r="M159">
        <v>1.75</v>
      </c>
      <c r="N159">
        <v>0.3645833333333334</v>
      </c>
      <c r="O159">
        <v>6</v>
      </c>
      <c r="P159">
        <v>0.07988874527364032</v>
      </c>
      <c r="Q159">
        <v>0.316012661696281</v>
      </c>
      <c r="R159" t="s">
        <v>765</v>
      </c>
      <c r="S159" t="s">
        <v>773</v>
      </c>
      <c r="T159">
        <v>29539.23881</v>
      </c>
      <c r="U159" s="2">
        <v>44425</v>
      </c>
      <c r="V159" t="s">
        <v>783</v>
      </c>
    </row>
    <row r="160" spans="1:22">
      <c r="A160" s="1" t="s">
        <v>180</v>
      </c>
      <c r="B160">
        <f>HYPERLINK("https://www.suredividend.com/sure-analysis-FLIC/","First Of Long Island Corp.")</f>
        <v>0</v>
      </c>
      <c r="C160">
        <v>20.45</v>
      </c>
      <c r="D160">
        <v>23</v>
      </c>
      <c r="E160">
        <v>0.8891304347826087</v>
      </c>
      <c r="F160">
        <v>0.03716381418092909</v>
      </c>
      <c r="G160">
        <v>0.02378062133531755</v>
      </c>
      <c r="H160">
        <v>0.055</v>
      </c>
      <c r="I160">
        <v>0.1113212126998786</v>
      </c>
      <c r="J160" t="s">
        <v>762</v>
      </c>
      <c r="K160" t="s">
        <v>761</v>
      </c>
      <c r="L160">
        <v>1.8</v>
      </c>
      <c r="M160">
        <v>0.76</v>
      </c>
      <c r="N160">
        <v>0.4222222222222222</v>
      </c>
      <c r="O160">
        <v>12</v>
      </c>
      <c r="P160">
        <v>0.06474093044470108</v>
      </c>
      <c r="Q160">
        <v>0.479194473371566</v>
      </c>
      <c r="R160" t="s">
        <v>765</v>
      </c>
      <c r="S160" t="s">
        <v>773</v>
      </c>
      <c r="T160">
        <v>478.144978</v>
      </c>
      <c r="U160" s="2">
        <v>44413</v>
      </c>
      <c r="V160" t="s">
        <v>783</v>
      </c>
    </row>
    <row r="161" spans="1:22">
      <c r="A161" s="1" t="s">
        <v>181</v>
      </c>
      <c r="B161">
        <f>HYPERLINK("https://www.suredividend.com/sure-analysis-TDS/","Telephone And Data Systems, Inc.")</f>
        <v>0</v>
      </c>
      <c r="C161">
        <v>19.23</v>
      </c>
      <c r="D161">
        <v>26</v>
      </c>
      <c r="E161">
        <v>0.7396153846153847</v>
      </c>
      <c r="F161">
        <v>0.03640145605824233</v>
      </c>
      <c r="G161">
        <v>0.06218169492309755</v>
      </c>
      <c r="H161">
        <v>0.02</v>
      </c>
      <c r="I161">
        <v>0.110861984567785</v>
      </c>
      <c r="J161" t="s">
        <v>762</v>
      </c>
      <c r="K161" t="s">
        <v>761</v>
      </c>
      <c r="L161">
        <v>1.1</v>
      </c>
      <c r="M161">
        <v>0.7</v>
      </c>
      <c r="N161">
        <v>0.6363636363636362</v>
      </c>
      <c r="O161">
        <v>45</v>
      </c>
      <c r="P161">
        <v>0.02962100943384161</v>
      </c>
      <c r="Q161">
        <v>0.068995266115117</v>
      </c>
      <c r="R161" t="s">
        <v>765</v>
      </c>
      <c r="S161" t="s">
        <v>769</v>
      </c>
      <c r="T161">
        <v>2076.849994</v>
      </c>
      <c r="U161" s="2">
        <v>44419</v>
      </c>
      <c r="V161" t="s">
        <v>782</v>
      </c>
    </row>
    <row r="162" spans="1:22">
      <c r="A162" s="1" t="s">
        <v>182</v>
      </c>
      <c r="B162">
        <f>HYPERLINK("https://www.suredividend.com/sure-analysis-YUM/","Yum Brands Inc.")</f>
        <v>0</v>
      </c>
      <c r="C162">
        <v>125.31</v>
      </c>
      <c r="D162">
        <v>113</v>
      </c>
      <c r="E162">
        <v>1.108938053097345</v>
      </c>
      <c r="F162">
        <v>0.01596041816295587</v>
      </c>
      <c r="G162">
        <v>-0.02046819325306271</v>
      </c>
      <c r="H162">
        <v>0.12</v>
      </c>
      <c r="I162">
        <v>0.1099479364983795</v>
      </c>
      <c r="J162" t="s">
        <v>762</v>
      </c>
      <c r="K162" t="s">
        <v>498</v>
      </c>
      <c r="L162">
        <v>4.65</v>
      </c>
      <c r="M162">
        <v>2</v>
      </c>
      <c r="N162">
        <v>0.4301075268817204</v>
      </c>
      <c r="O162">
        <v>4</v>
      </c>
      <c r="P162">
        <v>0.0602809527753625</v>
      </c>
      <c r="Q162">
        <v>0.416309888331592</v>
      </c>
      <c r="R162" t="s">
        <v>765</v>
      </c>
      <c r="S162" t="s">
        <v>775</v>
      </c>
      <c r="T162">
        <v>36949.906819</v>
      </c>
      <c r="U162" s="2">
        <v>44424</v>
      </c>
      <c r="V162" t="s">
        <v>787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142.24</v>
      </c>
      <c r="D163">
        <v>153</v>
      </c>
      <c r="E163">
        <v>0.9296732026143791</v>
      </c>
      <c r="F163">
        <v>0.01588863892013498</v>
      </c>
      <c r="G163">
        <v>0.01469130164580124</v>
      </c>
      <c r="H163">
        <v>0.08</v>
      </c>
      <c r="I163">
        <v>0.1096838150707706</v>
      </c>
      <c r="J163" t="s">
        <v>762</v>
      </c>
      <c r="K163" t="s">
        <v>358</v>
      </c>
      <c r="L163">
        <v>7.3</v>
      </c>
      <c r="M163">
        <v>2.26</v>
      </c>
      <c r="N163">
        <v>0.3095890410958904</v>
      </c>
      <c r="O163">
        <v>5</v>
      </c>
      <c r="P163">
        <v>0.08511082395204883</v>
      </c>
      <c r="Q163">
        <v>-0.03189184024077001</v>
      </c>
      <c r="R163" t="s">
        <v>765</v>
      </c>
      <c r="S163" t="s">
        <v>777</v>
      </c>
      <c r="T163">
        <v>177985.353533</v>
      </c>
      <c r="U163" s="2">
        <v>44415</v>
      </c>
      <c r="V163" t="s">
        <v>783</v>
      </c>
    </row>
    <row r="164" spans="1:22">
      <c r="A164" s="1" t="s">
        <v>184</v>
      </c>
      <c r="B164">
        <f>HYPERLINK("https://www.suredividend.com/sure-analysis-SRE/","Sempra Energy")</f>
        <v>0</v>
      </c>
      <c r="C164">
        <v>129.83</v>
      </c>
      <c r="D164">
        <v>151</v>
      </c>
      <c r="E164">
        <v>0.8598013245033114</v>
      </c>
      <c r="F164">
        <v>0.03389047215589617</v>
      </c>
      <c r="G164">
        <v>0.03067176315225284</v>
      </c>
      <c r="H164">
        <v>0.05</v>
      </c>
      <c r="I164">
        <v>0.1094800707012091</v>
      </c>
      <c r="J164" t="s">
        <v>762</v>
      </c>
      <c r="K164" t="s">
        <v>762</v>
      </c>
      <c r="L164">
        <v>8.050000000000001</v>
      </c>
      <c r="M164">
        <v>4.4</v>
      </c>
      <c r="N164">
        <v>0.5465838509316771</v>
      </c>
      <c r="O164">
        <v>11</v>
      </c>
      <c r="P164">
        <v>0.05016303610438722</v>
      </c>
      <c r="Q164">
        <v>0.172601070074654</v>
      </c>
      <c r="R164" t="s">
        <v>765</v>
      </c>
      <c r="S164" t="s">
        <v>776</v>
      </c>
      <c r="T164">
        <v>41780.918828</v>
      </c>
      <c r="U164" s="2">
        <v>44434</v>
      </c>
      <c r="V164" t="s">
        <v>787</v>
      </c>
    </row>
    <row r="165" spans="1:22">
      <c r="A165" s="1" t="s">
        <v>185</v>
      </c>
      <c r="B165">
        <f>HYPERLINK("https://www.suredividend.com/sure-analysis-EMN/","Eastman Chemical Co")</f>
        <v>0</v>
      </c>
      <c r="C165">
        <v>102.41</v>
      </c>
      <c r="D165">
        <v>122</v>
      </c>
      <c r="E165">
        <v>0.8394262295081967</v>
      </c>
      <c r="F165">
        <v>0.02695049311590665</v>
      </c>
      <c r="G165">
        <v>0.03562730626745836</v>
      </c>
      <c r="H165">
        <v>0.05</v>
      </c>
      <c r="I165">
        <v>0.1088987683259317</v>
      </c>
      <c r="J165" t="s">
        <v>762</v>
      </c>
      <c r="K165" t="s">
        <v>762</v>
      </c>
      <c r="L165">
        <v>9</v>
      </c>
      <c r="M165">
        <v>2.76</v>
      </c>
      <c r="N165">
        <v>0.3066666666666666</v>
      </c>
      <c r="O165">
        <v>11</v>
      </c>
      <c r="P165">
        <v>0.04984870359842875</v>
      </c>
      <c r="Q165">
        <v>0.3548505566037981</v>
      </c>
      <c r="R165" t="s">
        <v>765</v>
      </c>
      <c r="S165" t="s">
        <v>771</v>
      </c>
      <c r="T165">
        <v>13825.396449</v>
      </c>
      <c r="U165" s="2">
        <v>44411</v>
      </c>
      <c r="V165" t="s">
        <v>780</v>
      </c>
    </row>
    <row r="166" spans="1:22">
      <c r="A166" s="1" t="s">
        <v>186</v>
      </c>
      <c r="B166">
        <f>HYPERLINK("https://www.suredividend.com/sure-analysis-SWX/","Southwest Gas Holdings Inc")</f>
        <v>0</v>
      </c>
      <c r="C166">
        <v>67.42</v>
      </c>
      <c r="D166">
        <v>76</v>
      </c>
      <c r="E166">
        <v>0.8871052631578947</v>
      </c>
      <c r="F166">
        <v>0.03500444971818451</v>
      </c>
      <c r="G166">
        <v>0.02424763260376839</v>
      </c>
      <c r="H166">
        <v>0.055</v>
      </c>
      <c r="I166">
        <v>0.1088430078477547</v>
      </c>
      <c r="J166" t="s">
        <v>762</v>
      </c>
      <c r="K166" t="s">
        <v>762</v>
      </c>
      <c r="L166">
        <v>4.1</v>
      </c>
      <c r="M166">
        <v>2.36</v>
      </c>
      <c r="N166">
        <v>0.575609756097561</v>
      </c>
      <c r="O166">
        <v>14</v>
      </c>
      <c r="P166">
        <v>0.04985881365701572</v>
      </c>
      <c r="Q166">
        <v>0.163415533104381</v>
      </c>
      <c r="R166" t="s">
        <v>765</v>
      </c>
      <c r="S166" t="s">
        <v>776</v>
      </c>
      <c r="T166">
        <v>3991.759373</v>
      </c>
      <c r="U166" s="2">
        <v>44417</v>
      </c>
      <c r="V166" t="s">
        <v>782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21.91</v>
      </c>
      <c r="D167">
        <v>23.7</v>
      </c>
      <c r="E167">
        <v>0.9244725738396625</v>
      </c>
      <c r="F167">
        <v>0.08215426745778183</v>
      </c>
      <c r="G167">
        <v>0.01583037238823559</v>
      </c>
      <c r="H167">
        <v>0.028</v>
      </c>
      <c r="I167">
        <v>0.1083998732901641</v>
      </c>
      <c r="J167" t="s">
        <v>762</v>
      </c>
      <c r="K167" t="s">
        <v>761</v>
      </c>
      <c r="L167">
        <v>2.96</v>
      </c>
      <c r="M167">
        <v>1.8</v>
      </c>
      <c r="N167">
        <v>0.6081081081081081</v>
      </c>
      <c r="O167">
        <v>22</v>
      </c>
      <c r="P167">
        <v>0.01613736474159566</v>
      </c>
      <c r="Q167">
        <v>0.558929677322912</v>
      </c>
      <c r="R167" t="s">
        <v>766</v>
      </c>
      <c r="S167" t="s">
        <v>778</v>
      </c>
      <c r="T167">
        <v>47859.858551</v>
      </c>
      <c r="U167" s="2">
        <v>44413</v>
      </c>
      <c r="V167" t="s">
        <v>790</v>
      </c>
    </row>
    <row r="168" spans="1:22">
      <c r="A168" s="1" t="s">
        <v>188</v>
      </c>
      <c r="B168">
        <f>HYPERLINK("https://www.suredividend.com/sure-analysis-ENB/","Enbridge Inc")</f>
        <v>0</v>
      </c>
      <c r="C168">
        <v>39.99</v>
      </c>
      <c r="D168">
        <v>42</v>
      </c>
      <c r="E168">
        <v>0.9521428571428572</v>
      </c>
      <c r="F168">
        <v>0.06901725431357839</v>
      </c>
      <c r="G168">
        <v>0.009856295538301252</v>
      </c>
      <c r="H168">
        <v>0.04</v>
      </c>
      <c r="I168">
        <v>0.1083282660760947</v>
      </c>
      <c r="J168" t="s">
        <v>762</v>
      </c>
      <c r="K168" t="s">
        <v>761</v>
      </c>
      <c r="L168">
        <v>3.85</v>
      </c>
      <c r="M168">
        <v>2.76</v>
      </c>
      <c r="N168">
        <v>0.7168831168831168</v>
      </c>
      <c r="O168">
        <v>26</v>
      </c>
      <c r="P168">
        <v>0.04503268070663458</v>
      </c>
      <c r="Q168">
        <v>0.4610247586830361</v>
      </c>
      <c r="R168" t="s">
        <v>765</v>
      </c>
      <c r="S168" t="s">
        <v>778</v>
      </c>
      <c r="T168">
        <v>81191.29872000001</v>
      </c>
      <c r="U168" s="2">
        <v>44424</v>
      </c>
      <c r="V168" t="s">
        <v>783</v>
      </c>
    </row>
    <row r="169" spans="1:22">
      <c r="A169" s="1" t="s">
        <v>189</v>
      </c>
      <c r="B169">
        <f>HYPERLINK("https://www.suredividend.com/sure-analysis-MURGF/","Münchener Rückversicherungs-Gesellschaft AG")</f>
        <v>0</v>
      </c>
      <c r="C169">
        <v>277.45</v>
      </c>
      <c r="D169">
        <v>319</v>
      </c>
      <c r="E169">
        <v>0.8697492163009404</v>
      </c>
      <c r="F169">
        <v>0.04685528924130474</v>
      </c>
      <c r="G169">
        <v>0.02830320824915677</v>
      </c>
      <c r="H169">
        <v>0.04</v>
      </c>
      <c r="I169">
        <v>0.1081003341106215</v>
      </c>
      <c r="J169" t="s">
        <v>762</v>
      </c>
      <c r="K169" t="s">
        <v>761</v>
      </c>
      <c r="L169">
        <v>25.5</v>
      </c>
      <c r="M169">
        <v>13</v>
      </c>
      <c r="N169">
        <v>0.5098039215686274</v>
      </c>
      <c r="O169">
        <v>6</v>
      </c>
      <c r="P169">
        <v>0.0499789846479779</v>
      </c>
      <c r="Q169">
        <v>0.07957198443579701</v>
      </c>
      <c r="R169" t="s">
        <v>765</v>
      </c>
      <c r="S169" t="s">
        <v>773</v>
      </c>
      <c r="T169">
        <v>38870.448406</v>
      </c>
      <c r="U169" s="2">
        <v>44422</v>
      </c>
      <c r="V169" t="s">
        <v>780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83.5</v>
      </c>
      <c r="D170">
        <v>99</v>
      </c>
      <c r="E170">
        <v>0.8434343434343434</v>
      </c>
      <c r="F170">
        <v>0.04047904191616766</v>
      </c>
      <c r="G170">
        <v>0.03464114175763777</v>
      </c>
      <c r="H170">
        <v>0.04</v>
      </c>
      <c r="I170">
        <v>0.1080671341102182</v>
      </c>
      <c r="J170" t="s">
        <v>762</v>
      </c>
      <c r="K170" t="s">
        <v>761</v>
      </c>
      <c r="L170">
        <v>6.19</v>
      </c>
      <c r="M170">
        <v>3.38</v>
      </c>
      <c r="N170">
        <v>0.5460420032310177</v>
      </c>
      <c r="O170">
        <v>25</v>
      </c>
      <c r="P170">
        <v>0.03988430711083502</v>
      </c>
      <c r="Q170">
        <v>-0.006017182093798001</v>
      </c>
      <c r="R170" t="s">
        <v>765</v>
      </c>
      <c r="S170" t="s">
        <v>770</v>
      </c>
      <c r="T170">
        <v>203444.556284</v>
      </c>
      <c r="U170" s="2">
        <v>44399</v>
      </c>
      <c r="V170" t="s">
        <v>781</v>
      </c>
    </row>
    <row r="171" spans="1:22">
      <c r="A171" s="1" t="s">
        <v>191</v>
      </c>
      <c r="B171">
        <f>HYPERLINK("https://www.suredividend.com/sure-analysis-CHRW/","C.H. Robinson Worldwide, Inc.")</f>
        <v>0</v>
      </c>
      <c r="C171">
        <v>88.52</v>
      </c>
      <c r="D171">
        <v>97</v>
      </c>
      <c r="E171">
        <v>0.9125773195876288</v>
      </c>
      <c r="F171">
        <v>0.02338454586534117</v>
      </c>
      <c r="G171">
        <v>0.01846489899986614</v>
      </c>
      <c r="H171">
        <v>0.07000000000000001</v>
      </c>
      <c r="I171">
        <v>0.1078346722956027</v>
      </c>
      <c r="J171" t="s">
        <v>762</v>
      </c>
      <c r="K171" t="s">
        <v>762</v>
      </c>
      <c r="L171">
        <v>5.4</v>
      </c>
      <c r="M171">
        <v>2.07</v>
      </c>
      <c r="N171">
        <v>0.3833333333333333</v>
      </c>
      <c r="O171">
        <v>22</v>
      </c>
      <c r="P171">
        <v>0.04012620718096094</v>
      </c>
      <c r="Q171">
        <v>-0.106088119945471</v>
      </c>
      <c r="R171" t="s">
        <v>765</v>
      </c>
      <c r="S171" t="s">
        <v>772</v>
      </c>
      <c r="T171">
        <v>11651.221051</v>
      </c>
      <c r="U171" s="2">
        <v>44411</v>
      </c>
      <c r="V171" t="s">
        <v>786</v>
      </c>
    </row>
    <row r="172" spans="1:22">
      <c r="A172" s="1" t="s">
        <v>192</v>
      </c>
      <c r="B172">
        <f>HYPERLINK("https://www.suredividend.com/sure-analysis-TD/","Toronto Dominion Bank")</f>
        <v>0</v>
      </c>
      <c r="C172">
        <v>65.66</v>
      </c>
      <c r="D172">
        <v>74</v>
      </c>
      <c r="E172">
        <v>0.8872972972972972</v>
      </c>
      <c r="F172">
        <v>0.03822723119098385</v>
      </c>
      <c r="G172">
        <v>0.02420329401668075</v>
      </c>
      <c r="H172">
        <v>0.05</v>
      </c>
      <c r="I172">
        <v>0.1066834837272455</v>
      </c>
      <c r="J172" t="s">
        <v>762</v>
      </c>
      <c r="K172" t="s">
        <v>761</v>
      </c>
      <c r="L172">
        <v>6.08</v>
      </c>
      <c r="M172">
        <v>2.51</v>
      </c>
      <c r="N172">
        <v>0.412828947368421</v>
      </c>
      <c r="O172">
        <v>9</v>
      </c>
      <c r="P172">
        <v>0.04977264413928073</v>
      </c>
      <c r="Q172">
        <v>0.4999144275201091</v>
      </c>
      <c r="R172" t="s">
        <v>765</v>
      </c>
      <c r="S172" t="s">
        <v>773</v>
      </c>
      <c r="T172">
        <v>119794.061406</v>
      </c>
      <c r="U172" s="2">
        <v>44444</v>
      </c>
      <c r="V172" t="s">
        <v>789</v>
      </c>
    </row>
    <row r="173" spans="1:22">
      <c r="A173" s="1" t="s">
        <v>193</v>
      </c>
      <c r="B173">
        <f>HYPERLINK("https://www.suredividend.com/sure-analysis-OGN/","Organon &amp; Co.")</f>
        <v>0</v>
      </c>
      <c r="C173">
        <v>33.12</v>
      </c>
      <c r="D173">
        <v>42</v>
      </c>
      <c r="E173">
        <v>0.7885714285714285</v>
      </c>
      <c r="F173">
        <v>0.03381642512077295</v>
      </c>
      <c r="G173">
        <v>0.04865297304157679</v>
      </c>
      <c r="H173">
        <v>0.03</v>
      </c>
      <c r="I173">
        <v>0.1060323125884173</v>
      </c>
      <c r="J173" t="s">
        <v>762</v>
      </c>
      <c r="K173" t="s">
        <v>761</v>
      </c>
      <c r="L173">
        <v>5.98</v>
      </c>
      <c r="M173">
        <v>1.12</v>
      </c>
      <c r="N173">
        <v>0.1872909698996656</v>
      </c>
      <c r="O173">
        <v>0</v>
      </c>
      <c r="P173">
        <v>0.03025579475561258</v>
      </c>
      <c r="Q173">
        <v>0.00390977443609</v>
      </c>
      <c r="R173" t="s">
        <v>765</v>
      </c>
      <c r="S173" t="s">
        <v>770</v>
      </c>
      <c r="T173">
        <v>8463.333801999999</v>
      </c>
      <c r="U173" s="2">
        <v>44422</v>
      </c>
      <c r="V173" t="s">
        <v>781</v>
      </c>
    </row>
    <row r="174" spans="1:22">
      <c r="A174" s="1" t="s">
        <v>194</v>
      </c>
      <c r="B174">
        <f>HYPERLINK("https://www.suredividend.com/sure-analysis-BNS/","Bank Of Nova Scotia")</f>
        <v>0</v>
      </c>
      <c r="C174">
        <v>61.71</v>
      </c>
      <c r="D174">
        <v>67</v>
      </c>
      <c r="E174">
        <v>0.9210447761194031</v>
      </c>
      <c r="F174">
        <v>0.04553556959974072</v>
      </c>
      <c r="G174">
        <v>0.01658536043606618</v>
      </c>
      <c r="H174">
        <v>0.05</v>
      </c>
      <c r="I174">
        <v>0.105531967071173</v>
      </c>
      <c r="J174" t="s">
        <v>762</v>
      </c>
      <c r="K174" t="s">
        <v>761</v>
      </c>
      <c r="L174">
        <v>5.93</v>
      </c>
      <c r="M174">
        <v>2.81</v>
      </c>
      <c r="N174">
        <v>0.4738617200674536</v>
      </c>
      <c r="O174">
        <v>9</v>
      </c>
      <c r="P174">
        <v>0.05196296413233981</v>
      </c>
      <c r="Q174">
        <v>0.5994523276076671</v>
      </c>
      <c r="R174" t="s">
        <v>765</v>
      </c>
      <c r="S174" t="s">
        <v>773</v>
      </c>
      <c r="T174">
        <v>74939.257388</v>
      </c>
      <c r="U174" s="2">
        <v>44436</v>
      </c>
      <c r="V174" t="s">
        <v>789</v>
      </c>
    </row>
    <row r="175" spans="1:22">
      <c r="A175" s="1" t="s">
        <v>195</v>
      </c>
      <c r="B175">
        <f>HYPERLINK("https://www.suredividend.com/sure-analysis-UNH/","Unitedhealth Group Inc")</f>
        <v>0</v>
      </c>
      <c r="C175">
        <v>406.82</v>
      </c>
      <c r="D175">
        <v>354</v>
      </c>
      <c r="E175">
        <v>1.149209039548023</v>
      </c>
      <c r="F175">
        <v>0.01425691952214739</v>
      </c>
      <c r="G175">
        <v>-0.02743151347591122</v>
      </c>
      <c r="H175">
        <v>0.12</v>
      </c>
      <c r="I175">
        <v>0.1041305104047223</v>
      </c>
      <c r="J175" t="s">
        <v>762</v>
      </c>
      <c r="K175" t="s">
        <v>358</v>
      </c>
      <c r="L175">
        <v>18.65</v>
      </c>
      <c r="M175">
        <v>5.8</v>
      </c>
      <c r="N175">
        <v>0.3109919571045577</v>
      </c>
      <c r="O175">
        <v>12</v>
      </c>
      <c r="P175">
        <v>0.1400529846685179</v>
      </c>
      <c r="Q175">
        <v>0.41680625348967</v>
      </c>
      <c r="R175" t="s">
        <v>765</v>
      </c>
      <c r="S175" t="s">
        <v>770</v>
      </c>
      <c r="T175">
        <v>384738.572849</v>
      </c>
      <c r="U175" s="2">
        <v>44395</v>
      </c>
      <c r="V175" t="s">
        <v>785</v>
      </c>
    </row>
    <row r="176" spans="1:22">
      <c r="A176" s="1" t="s">
        <v>196</v>
      </c>
      <c r="B176">
        <f>HYPERLINK("https://www.suredividend.com/sure-analysis-BLK/","Blackrock Inc.")</f>
        <v>0</v>
      </c>
      <c r="C176">
        <v>873.27</v>
      </c>
      <c r="D176">
        <v>781</v>
      </c>
      <c r="E176">
        <v>1.118143405889885</v>
      </c>
      <c r="F176">
        <v>0.01891740240704479</v>
      </c>
      <c r="G176">
        <v>-0.02208637154136861</v>
      </c>
      <c r="H176">
        <v>0.11</v>
      </c>
      <c r="I176">
        <v>0.1037023684556904</v>
      </c>
      <c r="J176" t="s">
        <v>762</v>
      </c>
      <c r="K176" t="s">
        <v>358</v>
      </c>
      <c r="L176">
        <v>37.2</v>
      </c>
      <c r="M176">
        <v>16.52</v>
      </c>
      <c r="N176">
        <v>0.4440860215053763</v>
      </c>
      <c r="O176">
        <v>11</v>
      </c>
      <c r="P176">
        <v>0.1100226421779109</v>
      </c>
      <c r="Q176">
        <v>0.6597844441691301</v>
      </c>
      <c r="R176" t="s">
        <v>765</v>
      </c>
      <c r="S176" t="s">
        <v>773</v>
      </c>
      <c r="T176">
        <v>133349.388829</v>
      </c>
      <c r="U176" s="2">
        <v>44394</v>
      </c>
      <c r="V176" t="s">
        <v>789</v>
      </c>
    </row>
    <row r="177" spans="1:22">
      <c r="A177" s="1" t="s">
        <v>197</v>
      </c>
      <c r="B177">
        <f>HYPERLINK("https://www.suredividend.com/sure-analysis-KDP/","Keurig Dr Pepper Inc")</f>
        <v>0</v>
      </c>
      <c r="C177">
        <v>34.005</v>
      </c>
      <c r="D177">
        <v>32</v>
      </c>
      <c r="E177">
        <v>1.06265625</v>
      </c>
      <c r="F177">
        <v>0.02087928245846199</v>
      </c>
      <c r="G177">
        <v>-0.0120807683969667</v>
      </c>
      <c r="H177">
        <v>0.1</v>
      </c>
      <c r="I177">
        <v>0.1035962263764472</v>
      </c>
      <c r="J177" t="s">
        <v>762</v>
      </c>
      <c r="K177" t="s">
        <v>358</v>
      </c>
      <c r="L177">
        <v>1.6</v>
      </c>
      <c r="M177">
        <v>0.71</v>
      </c>
      <c r="N177">
        <v>0.44375</v>
      </c>
      <c r="O177">
        <v>1</v>
      </c>
      <c r="P177">
        <v>0.05088842545712402</v>
      </c>
      <c r="Q177">
        <v>0.293783051819217</v>
      </c>
      <c r="R177" t="s">
        <v>765</v>
      </c>
      <c r="S177" t="s">
        <v>774</v>
      </c>
      <c r="T177">
        <v>48625.428408</v>
      </c>
      <c r="U177" s="2">
        <v>44439</v>
      </c>
      <c r="V177" t="s">
        <v>788</v>
      </c>
    </row>
    <row r="178" spans="1:22">
      <c r="A178" s="1" t="s">
        <v>198</v>
      </c>
      <c r="B178">
        <f>HYPERLINK("https://www.suredividend.com/sure-analysis-GILD/","Gilead Sciences, Inc.")</f>
        <v>0</v>
      </c>
      <c r="C178">
        <v>71.625</v>
      </c>
      <c r="D178">
        <v>78</v>
      </c>
      <c r="E178">
        <v>0.9182692307692307</v>
      </c>
      <c r="F178">
        <v>0.03965095986038394</v>
      </c>
      <c r="G178">
        <v>0.01719916158861556</v>
      </c>
      <c r="H178">
        <v>0.05</v>
      </c>
      <c r="I178">
        <v>0.1031546527126352</v>
      </c>
      <c r="J178" t="s">
        <v>762</v>
      </c>
      <c r="K178" t="s">
        <v>761</v>
      </c>
      <c r="L178">
        <v>7.1</v>
      </c>
      <c r="M178">
        <v>2.84</v>
      </c>
      <c r="N178">
        <v>0.4</v>
      </c>
      <c r="O178">
        <v>6</v>
      </c>
      <c r="P178">
        <v>0.06982550252761355</v>
      </c>
      <c r="Q178">
        <v>0.186215477886488</v>
      </c>
      <c r="R178" t="s">
        <v>765</v>
      </c>
      <c r="S178" t="s">
        <v>770</v>
      </c>
      <c r="T178">
        <v>89885.59875400001</v>
      </c>
      <c r="U178" s="2">
        <v>44417</v>
      </c>
      <c r="V178" t="s">
        <v>783</v>
      </c>
    </row>
    <row r="179" spans="1:22">
      <c r="A179" s="1" t="s">
        <v>199</v>
      </c>
      <c r="B179">
        <f>HYPERLINK("https://www.suredividend.com/sure-analysis-BR/","Broadridge Financial Solutions, Inc.")</f>
        <v>0</v>
      </c>
      <c r="C179">
        <v>168.31</v>
      </c>
      <c r="D179">
        <v>160</v>
      </c>
      <c r="E179">
        <v>1.0519375</v>
      </c>
      <c r="F179">
        <v>0.01521002911294635</v>
      </c>
      <c r="G179">
        <v>-0.01007563759251062</v>
      </c>
      <c r="H179">
        <v>0.1</v>
      </c>
      <c r="I179">
        <v>0.103067698446063</v>
      </c>
      <c r="J179" t="s">
        <v>762</v>
      </c>
      <c r="K179" t="s">
        <v>358</v>
      </c>
      <c r="L179">
        <v>6.39</v>
      </c>
      <c r="M179">
        <v>2.56</v>
      </c>
      <c r="N179">
        <v>0.4006259780907668</v>
      </c>
      <c r="O179">
        <v>13</v>
      </c>
      <c r="P179">
        <v>0.09984491222048941</v>
      </c>
      <c r="Q179">
        <v>0.324046807618921</v>
      </c>
      <c r="R179" t="s">
        <v>765</v>
      </c>
      <c r="S179" t="s">
        <v>777</v>
      </c>
      <c r="T179">
        <v>19524.410383</v>
      </c>
      <c r="U179" s="2">
        <v>44421</v>
      </c>
      <c r="V179" t="s">
        <v>782</v>
      </c>
    </row>
    <row r="180" spans="1:22">
      <c r="A180" s="1" t="s">
        <v>200</v>
      </c>
      <c r="B180">
        <f>HYPERLINK("https://www.suredividend.com/sure-analysis-MRK/","Merck &amp; Co Inc")</f>
        <v>0</v>
      </c>
      <c r="C180">
        <v>74.55</v>
      </c>
      <c r="D180">
        <v>83</v>
      </c>
      <c r="E180">
        <v>0.8981927710843373</v>
      </c>
      <c r="F180">
        <v>0.03487592219986586</v>
      </c>
      <c r="G180">
        <v>0.02170634140704064</v>
      </c>
      <c r="H180">
        <v>0.05</v>
      </c>
      <c r="I180">
        <v>0.1017489532088336</v>
      </c>
      <c r="J180" t="s">
        <v>762</v>
      </c>
      <c r="K180" t="s">
        <v>762</v>
      </c>
      <c r="L180">
        <v>5.52</v>
      </c>
      <c r="M180">
        <v>2.6</v>
      </c>
      <c r="N180">
        <v>0.4710144927536232</v>
      </c>
      <c r="O180">
        <v>10</v>
      </c>
      <c r="P180">
        <v>0.05010553388446692</v>
      </c>
      <c r="Q180">
        <v>-0.08527766612446901</v>
      </c>
      <c r="R180" t="s">
        <v>765</v>
      </c>
      <c r="S180" t="s">
        <v>770</v>
      </c>
      <c r="T180">
        <v>184916.921543</v>
      </c>
      <c r="U180" s="2">
        <v>44409</v>
      </c>
      <c r="V180" t="s">
        <v>781</v>
      </c>
    </row>
    <row r="181" spans="1:22">
      <c r="A181" s="1" t="s">
        <v>201</v>
      </c>
      <c r="B181">
        <f>HYPERLINK("https://www.suredividend.com/sure-analysis-WU/","Western Union Company")</f>
        <v>0</v>
      </c>
      <c r="C181">
        <v>20.36</v>
      </c>
      <c r="D181">
        <v>25</v>
      </c>
      <c r="E181">
        <v>0.8144</v>
      </c>
      <c r="F181">
        <v>0.04616895874263261</v>
      </c>
      <c r="G181">
        <v>0.04191537564135439</v>
      </c>
      <c r="H181">
        <v>0.02</v>
      </c>
      <c r="I181">
        <v>0.1006474569362503</v>
      </c>
      <c r="J181" t="s">
        <v>762</v>
      </c>
      <c r="K181" t="s">
        <v>761</v>
      </c>
      <c r="L181">
        <v>2.05</v>
      </c>
      <c r="M181">
        <v>0.9399999999999999</v>
      </c>
      <c r="N181">
        <v>0.4585365853658537</v>
      </c>
      <c r="O181">
        <v>7</v>
      </c>
      <c r="P181">
        <v>0.03933463380769542</v>
      </c>
      <c r="Q181">
        <v>-0.016187654176823</v>
      </c>
      <c r="R181" t="s">
        <v>765</v>
      </c>
      <c r="S181" t="s">
        <v>773</v>
      </c>
      <c r="T181">
        <v>8216.360644</v>
      </c>
      <c r="U181" s="2">
        <v>44425</v>
      </c>
      <c r="V181" t="s">
        <v>788</v>
      </c>
    </row>
    <row r="182" spans="1:22">
      <c r="A182" s="1" t="s">
        <v>202</v>
      </c>
      <c r="B182">
        <f>HYPERLINK("https://www.suredividend.com/sure-analysis-LRLCF/","L'Oréal SA")</f>
        <v>0</v>
      </c>
      <c r="C182">
        <v>442.51</v>
      </c>
      <c r="D182">
        <v>523</v>
      </c>
      <c r="E182">
        <v>0.8460994263862333</v>
      </c>
      <c r="F182">
        <v>0.01175114686673748</v>
      </c>
      <c r="G182">
        <v>0.03398852691774445</v>
      </c>
      <c r="H182">
        <v>0.055</v>
      </c>
      <c r="I182">
        <v>0.1003247589664999</v>
      </c>
      <c r="J182" t="s">
        <v>762</v>
      </c>
      <c r="K182" t="s">
        <v>498</v>
      </c>
      <c r="L182">
        <v>10</v>
      </c>
      <c r="M182">
        <v>5.2</v>
      </c>
      <c r="N182">
        <v>0.52</v>
      </c>
      <c r="O182">
        <v>21</v>
      </c>
      <c r="P182">
        <v>0.05010553388446692</v>
      </c>
      <c r="Q182">
        <v>0.36898279915852</v>
      </c>
      <c r="R182" t="s">
        <v>765</v>
      </c>
      <c r="S182" t="s">
        <v>774</v>
      </c>
      <c r="T182">
        <v>246775.328748</v>
      </c>
      <c r="U182" s="2">
        <v>44425</v>
      </c>
      <c r="V182" t="s">
        <v>780</v>
      </c>
    </row>
    <row r="183" spans="1:22">
      <c r="A183" s="1" t="s">
        <v>203</v>
      </c>
      <c r="B183">
        <f>HYPERLINK("https://www.suredividend.com/sure-analysis-OMC/","Omnicom Group, Inc.")</f>
        <v>0</v>
      </c>
      <c r="C183">
        <v>74.68000000000001</v>
      </c>
      <c r="D183">
        <v>84</v>
      </c>
      <c r="E183">
        <v>0.8890476190476191</v>
      </c>
      <c r="F183">
        <v>0.03749330476700589</v>
      </c>
      <c r="G183">
        <v>0.02379969387628256</v>
      </c>
      <c r="H183">
        <v>0.04</v>
      </c>
      <c r="I183">
        <v>0.09708338252975768</v>
      </c>
      <c r="J183" t="s">
        <v>762</v>
      </c>
      <c r="K183" t="s">
        <v>762</v>
      </c>
      <c r="L183">
        <v>6</v>
      </c>
      <c r="M183">
        <v>2.8</v>
      </c>
      <c r="N183">
        <v>0.4666666666666666</v>
      </c>
      <c r="O183">
        <v>1</v>
      </c>
      <c r="P183">
        <v>0.05502951838285242</v>
      </c>
      <c r="Q183">
        <v>0.577355504792046</v>
      </c>
      <c r="R183" t="s">
        <v>765</v>
      </c>
      <c r="S183" t="s">
        <v>769</v>
      </c>
      <c r="T183">
        <v>15900.475699</v>
      </c>
      <c r="U183" s="2">
        <v>44400</v>
      </c>
      <c r="V183" t="s">
        <v>783</v>
      </c>
    </row>
    <row r="184" spans="1:22">
      <c r="A184" s="1" t="s">
        <v>204</v>
      </c>
      <c r="B184">
        <f>HYPERLINK("https://www.suredividend.com/sure-analysis-HD/","Home Depot, Inc.")</f>
        <v>0</v>
      </c>
      <c r="C184">
        <v>337.12</v>
      </c>
      <c r="D184">
        <v>320</v>
      </c>
      <c r="E184">
        <v>1.0535</v>
      </c>
      <c r="F184">
        <v>0.01957759848125297</v>
      </c>
      <c r="G184">
        <v>-0.0103694534944595</v>
      </c>
      <c r="H184">
        <v>0.09</v>
      </c>
      <c r="I184">
        <v>0.09692981769914755</v>
      </c>
      <c r="J184" t="s">
        <v>762</v>
      </c>
      <c r="K184" t="s">
        <v>358</v>
      </c>
      <c r="L184">
        <v>14.55</v>
      </c>
      <c r="M184">
        <v>6.6</v>
      </c>
      <c r="N184">
        <v>0.4536082474226804</v>
      </c>
      <c r="O184">
        <v>12</v>
      </c>
      <c r="P184">
        <v>0.08989440052011655</v>
      </c>
      <c r="Q184">
        <v>0.288227660135852</v>
      </c>
      <c r="R184" t="s">
        <v>765</v>
      </c>
      <c r="S184" t="s">
        <v>775</v>
      </c>
      <c r="T184">
        <v>354505.539573</v>
      </c>
      <c r="U184" s="2">
        <v>44427</v>
      </c>
      <c r="V184" t="s">
        <v>782</v>
      </c>
    </row>
    <row r="185" spans="1:22">
      <c r="A185" s="1" t="s">
        <v>205</v>
      </c>
      <c r="B185">
        <f>HYPERLINK("https://www.suredividend.com/sure-analysis-BMO/","Bank of Montreal")</f>
        <v>0</v>
      </c>
      <c r="C185">
        <v>101.39</v>
      </c>
      <c r="D185">
        <v>110</v>
      </c>
      <c r="E185">
        <v>0.9217272727272727</v>
      </c>
      <c r="F185">
        <v>0.0326462175756978</v>
      </c>
      <c r="G185">
        <v>0.01643476889613349</v>
      </c>
      <c r="H185">
        <v>0.05</v>
      </c>
      <c r="I185">
        <v>0.09644641402460596</v>
      </c>
      <c r="J185" t="s">
        <v>762</v>
      </c>
      <c r="K185" t="s">
        <v>762</v>
      </c>
      <c r="L185">
        <v>9.779999999999999</v>
      </c>
      <c r="M185">
        <v>3.31</v>
      </c>
      <c r="N185">
        <v>0.3384458077709612</v>
      </c>
      <c r="O185">
        <v>9</v>
      </c>
      <c r="P185">
        <v>0.06850014718252129</v>
      </c>
      <c r="Q185">
        <v>0.8224744902084441</v>
      </c>
      <c r="R185" t="s">
        <v>765</v>
      </c>
      <c r="S185" t="s">
        <v>773</v>
      </c>
      <c r="T185">
        <v>65713.685969</v>
      </c>
      <c r="U185" s="2">
        <v>44442</v>
      </c>
      <c r="V185" t="s">
        <v>789</v>
      </c>
    </row>
    <row r="186" spans="1:22">
      <c r="A186" s="1" t="s">
        <v>206</v>
      </c>
      <c r="B186">
        <f>HYPERLINK("https://www.suredividend.com/sure-analysis-CDUAF/","Canadian Utilities Ltd.")</f>
        <v>0</v>
      </c>
      <c r="C186">
        <v>27.2272</v>
      </c>
      <c r="D186">
        <v>29</v>
      </c>
      <c r="E186">
        <v>0.9388689655172414</v>
      </c>
      <c r="F186">
        <v>0.05141916906622788</v>
      </c>
      <c r="G186">
        <v>0.01269578708985875</v>
      </c>
      <c r="H186">
        <v>0.04</v>
      </c>
      <c r="I186">
        <v>0.09475522529713998</v>
      </c>
      <c r="J186" t="s">
        <v>762</v>
      </c>
      <c r="K186" t="s">
        <v>761</v>
      </c>
      <c r="L186">
        <v>1.8</v>
      </c>
      <c r="M186">
        <v>1.4</v>
      </c>
      <c r="N186">
        <v>0.7777777777777777</v>
      </c>
      <c r="O186">
        <v>49</v>
      </c>
      <c r="P186">
        <v>0.02448548640749415</v>
      </c>
      <c r="Q186">
        <v>0.134466666666666</v>
      </c>
      <c r="R186" t="s">
        <v>765</v>
      </c>
      <c r="S186" t="s">
        <v>776</v>
      </c>
      <c r="T186">
        <v>5351.059552</v>
      </c>
      <c r="U186" s="2">
        <v>44408</v>
      </c>
      <c r="V186" t="s">
        <v>780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55.53</v>
      </c>
      <c r="D187">
        <v>53</v>
      </c>
      <c r="E187">
        <v>1.047735849056604</v>
      </c>
      <c r="F187">
        <v>0.03673689897352782</v>
      </c>
      <c r="G187">
        <v>-0.009282945286695932</v>
      </c>
      <c r="H187">
        <v>0.07000000000000001</v>
      </c>
      <c r="I187">
        <v>0.09462408552213963</v>
      </c>
      <c r="J187" t="s">
        <v>762</v>
      </c>
      <c r="K187" t="s">
        <v>762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0.24729974652729</v>
      </c>
      <c r="R187" t="s">
        <v>766</v>
      </c>
      <c r="S187" t="s">
        <v>776</v>
      </c>
      <c r="T187">
        <v>16529.307773</v>
      </c>
      <c r="U187" s="2">
        <v>44415</v>
      </c>
      <c r="V187" t="s">
        <v>789</v>
      </c>
    </row>
    <row r="188" spans="1:22">
      <c r="A188" s="1" t="s">
        <v>208</v>
      </c>
      <c r="B188">
        <f>HYPERLINK("https://www.suredividend.com/sure-analysis-PB/","Prosperity Bancshares Inc.")</f>
        <v>0</v>
      </c>
      <c r="C188">
        <v>68.01000000000001</v>
      </c>
      <c r="D188">
        <v>82</v>
      </c>
      <c r="E188">
        <v>0.8293902439024391</v>
      </c>
      <c r="F188">
        <v>0.02881929128069401</v>
      </c>
      <c r="G188">
        <v>0.03812157152509599</v>
      </c>
      <c r="H188">
        <v>0.03</v>
      </c>
      <c r="I188">
        <v>0.09427136286283533</v>
      </c>
      <c r="J188" t="s">
        <v>762</v>
      </c>
      <c r="K188" t="s">
        <v>762</v>
      </c>
      <c r="L188">
        <v>5.75</v>
      </c>
      <c r="M188">
        <v>1.96</v>
      </c>
      <c r="N188">
        <v>0.3408695652173913</v>
      </c>
      <c r="O188">
        <v>17</v>
      </c>
      <c r="P188">
        <v>0.05814078782077714</v>
      </c>
      <c r="Q188">
        <v>0.41190120447735</v>
      </c>
      <c r="R188" t="s">
        <v>765</v>
      </c>
      <c r="S188" t="s">
        <v>773</v>
      </c>
      <c r="T188">
        <v>6287.649822</v>
      </c>
      <c r="U188" s="2">
        <v>44425</v>
      </c>
      <c r="V188" t="s">
        <v>787</v>
      </c>
    </row>
    <row r="189" spans="1:22">
      <c r="A189" s="1" t="s">
        <v>209</v>
      </c>
      <c r="B189">
        <f>HYPERLINK("https://www.suredividend.com/sure-analysis-CMI/","Cummins Inc.")</f>
        <v>0</v>
      </c>
      <c r="C189">
        <v>229.06</v>
      </c>
      <c r="D189">
        <v>221</v>
      </c>
      <c r="E189">
        <v>1.036470588235294</v>
      </c>
      <c r="F189">
        <v>0.02532087662621147</v>
      </c>
      <c r="G189">
        <v>-0.007138653189909694</v>
      </c>
      <c r="H189">
        <v>0.08</v>
      </c>
      <c r="I189">
        <v>0.09364267189805275</v>
      </c>
      <c r="J189" t="s">
        <v>762</v>
      </c>
      <c r="K189" t="s">
        <v>762</v>
      </c>
      <c r="L189">
        <v>16.25</v>
      </c>
      <c r="M189">
        <v>5.8</v>
      </c>
      <c r="N189">
        <v>0.3569230769230769</v>
      </c>
      <c r="O189">
        <v>16</v>
      </c>
      <c r="P189">
        <v>0.0499309672496191</v>
      </c>
      <c r="Q189">
        <v>0.150714175560893</v>
      </c>
      <c r="R189" t="s">
        <v>765</v>
      </c>
      <c r="S189" t="s">
        <v>772</v>
      </c>
      <c r="T189">
        <v>32789.823299</v>
      </c>
      <c r="U189" s="2">
        <v>44415</v>
      </c>
      <c r="V189" t="s">
        <v>781</v>
      </c>
    </row>
    <row r="190" spans="1:22">
      <c r="A190" s="1" t="s">
        <v>210</v>
      </c>
      <c r="B190">
        <f>HYPERLINK("https://www.suredividend.com/sure-analysis-MO/","Altria Group Inc.")</f>
        <v>0</v>
      </c>
      <c r="C190">
        <v>48.95</v>
      </c>
      <c r="D190">
        <v>50.8</v>
      </c>
      <c r="E190">
        <v>0.9635826771653544</v>
      </c>
      <c r="F190">
        <v>0.07354443309499489</v>
      </c>
      <c r="G190">
        <v>0.007446989044674002</v>
      </c>
      <c r="H190">
        <v>0.022</v>
      </c>
      <c r="I190">
        <v>0.09287980364567416</v>
      </c>
      <c r="J190" t="s">
        <v>762</v>
      </c>
      <c r="K190" t="s">
        <v>761</v>
      </c>
      <c r="L190">
        <v>4.62</v>
      </c>
      <c r="M190">
        <v>3.6</v>
      </c>
      <c r="N190">
        <v>0.7792207792207793</v>
      </c>
      <c r="O190">
        <v>52</v>
      </c>
      <c r="P190">
        <v>0.02983277847878951</v>
      </c>
      <c r="Q190">
        <v>0.384307775209517</v>
      </c>
      <c r="R190" t="s">
        <v>765</v>
      </c>
      <c r="S190" t="s">
        <v>774</v>
      </c>
      <c r="T190">
        <v>90009.442153</v>
      </c>
      <c r="U190" s="2">
        <v>44420</v>
      </c>
      <c r="V190" t="s">
        <v>790</v>
      </c>
    </row>
    <row r="191" spans="1:22">
      <c r="A191" s="1" t="s">
        <v>211</v>
      </c>
      <c r="B191">
        <f>HYPERLINK("https://www.suredividend.com/sure-analysis-EIX/","Edison International")</f>
        <v>0</v>
      </c>
      <c r="C191">
        <v>57.57</v>
      </c>
      <c r="D191">
        <v>56.7</v>
      </c>
      <c r="E191">
        <v>1.015343915343915</v>
      </c>
      <c r="F191">
        <v>0.04603091888136182</v>
      </c>
      <c r="G191">
        <v>-0.00304084482810929</v>
      </c>
      <c r="H191">
        <v>0.057</v>
      </c>
      <c r="I191">
        <v>0.09196891763814463</v>
      </c>
      <c r="J191" t="s">
        <v>762</v>
      </c>
      <c r="K191" t="s">
        <v>761</v>
      </c>
      <c r="L191">
        <v>4.5</v>
      </c>
      <c r="M191">
        <v>2.65</v>
      </c>
      <c r="N191">
        <v>0.5888888888888889</v>
      </c>
      <c r="O191">
        <v>17</v>
      </c>
      <c r="P191">
        <v>0.03186567045409161</v>
      </c>
      <c r="Q191">
        <v>0.223085121289451</v>
      </c>
      <c r="R191" t="s">
        <v>765</v>
      </c>
      <c r="S191" t="s">
        <v>776</v>
      </c>
      <c r="T191">
        <v>21874.79347</v>
      </c>
      <c r="U191" s="2">
        <v>44411</v>
      </c>
      <c r="V191" t="s">
        <v>790</v>
      </c>
    </row>
    <row r="192" spans="1:22">
      <c r="A192" s="1" t="s">
        <v>212</v>
      </c>
      <c r="B192">
        <f>HYPERLINK("https://www.suredividend.com/sure-analysis-BAH/","Booz Allen Hamilton Holding Corp")</f>
        <v>0</v>
      </c>
      <c r="C192">
        <v>79.33</v>
      </c>
      <c r="D192">
        <v>76</v>
      </c>
      <c r="E192">
        <v>1.043815789473684</v>
      </c>
      <c r="F192">
        <v>0.01865624606075885</v>
      </c>
      <c r="G192">
        <v>-0.008539931246863697</v>
      </c>
      <c r="H192">
        <v>0.08</v>
      </c>
      <c r="I192">
        <v>0.09185636267117858</v>
      </c>
      <c r="J192" t="s">
        <v>762</v>
      </c>
      <c r="K192" t="s">
        <v>358</v>
      </c>
      <c r="L192">
        <v>4.2</v>
      </c>
      <c r="M192">
        <v>1.48</v>
      </c>
      <c r="N192">
        <v>0.3523809523809524</v>
      </c>
      <c r="O192">
        <v>10</v>
      </c>
      <c r="P192">
        <v>0.1486983549970351</v>
      </c>
      <c r="Q192">
        <v>-0.04869451728797201</v>
      </c>
      <c r="R192" t="s">
        <v>765</v>
      </c>
      <c r="S192" t="s">
        <v>772</v>
      </c>
      <c r="T192">
        <v>10602.607941</v>
      </c>
      <c r="U192" s="2">
        <v>44419</v>
      </c>
      <c r="V192" t="s">
        <v>788</v>
      </c>
    </row>
    <row r="193" spans="1:22">
      <c r="A193" s="1" t="s">
        <v>213</v>
      </c>
      <c r="B193">
        <f>HYPERLINK("https://www.suredividend.com/sure-analysis-RBA/","Ritchie Bros Auctioneers Inc")</f>
        <v>0</v>
      </c>
      <c r="C193">
        <v>61.8</v>
      </c>
      <c r="D193">
        <v>55</v>
      </c>
      <c r="E193">
        <v>1.123636363636364</v>
      </c>
      <c r="F193">
        <v>0.01618122977346279</v>
      </c>
      <c r="G193">
        <v>-0.02304436349476569</v>
      </c>
      <c r="H193">
        <v>0.1</v>
      </c>
      <c r="I193">
        <v>0.09047037061360608</v>
      </c>
      <c r="J193" t="s">
        <v>762</v>
      </c>
      <c r="K193" t="s">
        <v>498</v>
      </c>
      <c r="L193">
        <v>1.68</v>
      </c>
      <c r="M193">
        <v>1</v>
      </c>
      <c r="N193">
        <v>0.5952380952380952</v>
      </c>
      <c r="O193">
        <v>17</v>
      </c>
      <c r="P193">
        <v>0.09993032380125255</v>
      </c>
      <c r="Q193">
        <v>0.126393362633484</v>
      </c>
      <c r="R193" t="s">
        <v>765</v>
      </c>
      <c r="S193" t="s">
        <v>772</v>
      </c>
      <c r="T193">
        <v>6908.282716</v>
      </c>
      <c r="U193" s="2">
        <v>44416</v>
      </c>
      <c r="V193" t="s">
        <v>780</v>
      </c>
    </row>
    <row r="194" spans="1:22">
      <c r="A194" s="1" t="s">
        <v>214</v>
      </c>
      <c r="B194">
        <f>HYPERLINK("https://www.suredividend.com/sure-analysis-NTIOF/","National Bank of Canada")</f>
        <v>0</v>
      </c>
      <c r="C194">
        <v>76.38720000000001</v>
      </c>
      <c r="D194">
        <v>77</v>
      </c>
      <c r="E194">
        <v>0.9920415584415585</v>
      </c>
      <c r="F194">
        <v>0.02932428469691257</v>
      </c>
      <c r="G194">
        <v>0.00159933336851692</v>
      </c>
      <c r="H194">
        <v>0.06</v>
      </c>
      <c r="I194">
        <v>0.08944512565840212</v>
      </c>
      <c r="J194" t="s">
        <v>762</v>
      </c>
      <c r="K194" t="s">
        <v>762</v>
      </c>
      <c r="L194">
        <v>6.73</v>
      </c>
      <c r="M194">
        <v>2.24</v>
      </c>
      <c r="N194">
        <v>0.3328380386329866</v>
      </c>
      <c r="O194">
        <v>9</v>
      </c>
      <c r="P194">
        <v>0.0799150058822331</v>
      </c>
      <c r="Q194">
        <v>0.535164987549815</v>
      </c>
      <c r="R194" t="s">
        <v>765</v>
      </c>
      <c r="S194" t="s">
        <v>773</v>
      </c>
      <c r="T194">
        <v>25790.37048</v>
      </c>
      <c r="U194" s="2">
        <v>44436</v>
      </c>
      <c r="V194" t="s">
        <v>789</v>
      </c>
    </row>
    <row r="195" spans="1:22">
      <c r="A195" s="1" t="s">
        <v>215</v>
      </c>
      <c r="B195">
        <f>HYPERLINK("https://www.suredividend.com/sure-analysis-PBCT/","People`s United Financial Inc")</f>
        <v>0</v>
      </c>
      <c r="C195">
        <v>16.75</v>
      </c>
      <c r="D195">
        <v>18</v>
      </c>
      <c r="E195">
        <v>0.9305555555555556</v>
      </c>
      <c r="F195">
        <v>0.04358208955223881</v>
      </c>
      <c r="G195">
        <v>0.01449880252679092</v>
      </c>
      <c r="H195">
        <v>0.04</v>
      </c>
      <c r="I195">
        <v>0.08937736458562751</v>
      </c>
      <c r="J195" t="s">
        <v>762</v>
      </c>
      <c r="K195" t="s">
        <v>761</v>
      </c>
      <c r="L195">
        <v>1.33</v>
      </c>
      <c r="M195">
        <v>0.73</v>
      </c>
      <c r="N195">
        <v>0.5488721804511277</v>
      </c>
      <c r="O195">
        <v>29</v>
      </c>
      <c r="P195">
        <v>0.01333804570728625</v>
      </c>
      <c r="Q195">
        <v>0.766728040954033</v>
      </c>
      <c r="R195" t="s">
        <v>765</v>
      </c>
      <c r="S195" t="s">
        <v>773</v>
      </c>
      <c r="T195">
        <v>7104.049265</v>
      </c>
      <c r="U195" s="2">
        <v>44393</v>
      </c>
      <c r="V195" t="s">
        <v>787</v>
      </c>
    </row>
    <row r="196" spans="1:22">
      <c r="A196" s="1" t="s">
        <v>216</v>
      </c>
      <c r="B196">
        <f>HYPERLINK("https://www.suredividend.com/sure-analysis-MDLZ/","Mondelez International Inc.")</f>
        <v>0</v>
      </c>
      <c r="C196">
        <v>60.46</v>
      </c>
      <c r="D196">
        <v>57</v>
      </c>
      <c r="E196">
        <v>1.060701754385965</v>
      </c>
      <c r="F196">
        <v>0.02315580549123387</v>
      </c>
      <c r="G196">
        <v>-0.01171695977760301</v>
      </c>
      <c r="H196">
        <v>0.08</v>
      </c>
      <c r="I196">
        <v>0.08907227409654861</v>
      </c>
      <c r="J196" t="s">
        <v>762</v>
      </c>
      <c r="K196" t="s">
        <v>358</v>
      </c>
      <c r="L196">
        <v>2.85</v>
      </c>
      <c r="M196">
        <v>1.4</v>
      </c>
      <c r="N196">
        <v>0.4912280701754386</v>
      </c>
      <c r="O196">
        <v>8</v>
      </c>
      <c r="P196">
        <v>0.08030860883184343</v>
      </c>
      <c r="Q196">
        <v>0.131531974675148</v>
      </c>
      <c r="R196" t="s">
        <v>765</v>
      </c>
      <c r="S196" t="s">
        <v>774</v>
      </c>
      <c r="T196">
        <v>84889.45331300001</v>
      </c>
      <c r="U196" s="2">
        <v>44410</v>
      </c>
      <c r="V196" t="s">
        <v>789</v>
      </c>
    </row>
    <row r="197" spans="1:22">
      <c r="A197" s="1" t="s">
        <v>217</v>
      </c>
      <c r="B197">
        <f>HYPERLINK("https://www.suredividend.com/sure-analysis-RY/","Royal Bank Of Canada")</f>
        <v>0</v>
      </c>
      <c r="C197">
        <v>100.95</v>
      </c>
      <c r="D197">
        <v>94.92</v>
      </c>
      <c r="E197">
        <v>1.063527180783818</v>
      </c>
      <c r="F197">
        <v>0.03328380386329866</v>
      </c>
      <c r="G197">
        <v>-0.0122426243914745</v>
      </c>
      <c r="H197">
        <v>0.07000000000000001</v>
      </c>
      <c r="I197">
        <v>0.08900615822538316</v>
      </c>
      <c r="J197" t="s">
        <v>762</v>
      </c>
      <c r="K197" t="s">
        <v>762</v>
      </c>
      <c r="L197">
        <v>7.83</v>
      </c>
      <c r="M197">
        <v>3.36</v>
      </c>
      <c r="N197">
        <v>0.4291187739463601</v>
      </c>
      <c r="O197">
        <v>10</v>
      </c>
      <c r="P197">
        <v>0.08317764845110265</v>
      </c>
      <c r="Q197">
        <v>0.5030925047431281</v>
      </c>
      <c r="R197" t="s">
        <v>765</v>
      </c>
      <c r="S197" t="s">
        <v>773</v>
      </c>
      <c r="T197">
        <v>144057.9864</v>
      </c>
      <c r="U197" s="2">
        <v>44444</v>
      </c>
      <c r="V197" t="s">
        <v>789</v>
      </c>
    </row>
    <row r="198" spans="1:22">
      <c r="A198" s="1" t="s">
        <v>218</v>
      </c>
      <c r="B198">
        <f>HYPERLINK("https://www.suredividend.com/sure-analysis-FTS/","Fortis Inc.")</f>
        <v>0</v>
      </c>
      <c r="C198">
        <v>45.065</v>
      </c>
      <c r="D198">
        <v>44</v>
      </c>
      <c r="E198">
        <v>1.024204545454545</v>
      </c>
      <c r="F198">
        <v>0.03594807500277378</v>
      </c>
      <c r="G198">
        <v>-0.004771830087942353</v>
      </c>
      <c r="H198">
        <v>0.06</v>
      </c>
      <c r="I198">
        <v>0.08756709516716366</v>
      </c>
      <c r="J198" t="s">
        <v>762</v>
      </c>
      <c r="K198" t="s">
        <v>761</v>
      </c>
      <c r="L198">
        <v>2.18</v>
      </c>
      <c r="M198">
        <v>1.62</v>
      </c>
      <c r="N198">
        <v>0.7431192660550459</v>
      </c>
      <c r="O198">
        <v>47</v>
      </c>
      <c r="P198">
        <v>0.06020279266594519</v>
      </c>
      <c r="Q198">
        <v>0.188056778215361</v>
      </c>
      <c r="R198" t="s">
        <v>765</v>
      </c>
      <c r="S198" t="s">
        <v>776</v>
      </c>
      <c r="T198">
        <v>21267.78319</v>
      </c>
      <c r="U198" s="2">
        <v>44412</v>
      </c>
      <c r="V198" t="s">
        <v>789</v>
      </c>
    </row>
    <row r="199" spans="1:22">
      <c r="A199" s="1" t="s">
        <v>219</v>
      </c>
      <c r="B199">
        <f>HYPERLINK("https://www.suredividend.com/sure-analysis-RBGLY/","Reckitt Benckiser Group Plc")</f>
        <v>0</v>
      </c>
      <c r="C199">
        <v>16.02</v>
      </c>
      <c r="D199">
        <v>18</v>
      </c>
      <c r="E199">
        <v>0.89</v>
      </c>
      <c r="F199">
        <v>0.02746566791510612</v>
      </c>
      <c r="G199">
        <v>0.02358048826922654</v>
      </c>
      <c r="H199">
        <v>0.04</v>
      </c>
      <c r="I199">
        <v>0.08746140504616262</v>
      </c>
      <c r="J199" t="s">
        <v>762</v>
      </c>
      <c r="K199" t="s">
        <v>762</v>
      </c>
      <c r="L199">
        <v>1.2</v>
      </c>
      <c r="M199">
        <v>0.44</v>
      </c>
      <c r="N199">
        <v>0.3666666666666667</v>
      </c>
      <c r="O199">
        <v>0</v>
      </c>
      <c r="P199">
        <v>0.03792181163298758</v>
      </c>
      <c r="Q199">
        <v>-0.166666666666666</v>
      </c>
      <c r="R199" t="s">
        <v>765</v>
      </c>
      <c r="S199" t="s">
        <v>774</v>
      </c>
      <c r="T199">
        <v>57208.711452</v>
      </c>
      <c r="U199" s="2">
        <v>44405</v>
      </c>
      <c r="V199" t="s">
        <v>791</v>
      </c>
    </row>
    <row r="200" spans="1:22">
      <c r="A200" s="1" t="s">
        <v>220</v>
      </c>
      <c r="B200">
        <f>HYPERLINK("https://www.suredividend.com/sure-analysis-DDS/","Dillard`s Inc.")</f>
        <v>0</v>
      </c>
      <c r="C200">
        <v>211.8</v>
      </c>
      <c r="D200">
        <v>288</v>
      </c>
      <c r="E200">
        <v>0.7354166666666667</v>
      </c>
      <c r="F200">
        <v>0.003777148253068933</v>
      </c>
      <c r="G200">
        <v>0.06339179835243214</v>
      </c>
      <c r="H200">
        <v>0.02</v>
      </c>
      <c r="I200">
        <v>0.08737492128760671</v>
      </c>
      <c r="J200" t="s">
        <v>762</v>
      </c>
      <c r="K200" t="s">
        <v>498</v>
      </c>
      <c r="L200">
        <v>26.2</v>
      </c>
      <c r="M200">
        <v>0.8</v>
      </c>
      <c r="N200">
        <v>0.03053435114503817</v>
      </c>
      <c r="O200">
        <v>11</v>
      </c>
      <c r="P200">
        <v>0</v>
      </c>
      <c r="Q200">
        <v>6.037633886244016</v>
      </c>
      <c r="R200" t="s">
        <v>765</v>
      </c>
      <c r="S200" t="s">
        <v>775</v>
      </c>
      <c r="T200">
        <v>3492.670771</v>
      </c>
      <c r="U200" s="2">
        <v>44434</v>
      </c>
      <c r="V200" t="s">
        <v>783</v>
      </c>
    </row>
    <row r="201" spans="1:22">
      <c r="A201" s="1" t="s">
        <v>221</v>
      </c>
      <c r="B201">
        <f>HYPERLINK("https://www.suredividend.com/sure-analysis-INTC/","Intel Corp.")</f>
        <v>0</v>
      </c>
      <c r="C201">
        <v>54.38</v>
      </c>
      <c r="D201">
        <v>58</v>
      </c>
      <c r="E201">
        <v>0.9375862068965518</v>
      </c>
      <c r="F201">
        <v>0.02556086796616403</v>
      </c>
      <c r="G201">
        <v>0.01297273952570177</v>
      </c>
      <c r="H201">
        <v>0.05</v>
      </c>
      <c r="I201">
        <v>0.08581821817098256</v>
      </c>
      <c r="J201" t="s">
        <v>762</v>
      </c>
      <c r="K201" t="s">
        <v>762</v>
      </c>
      <c r="L201">
        <v>4.8</v>
      </c>
      <c r="M201">
        <v>1.39</v>
      </c>
      <c r="N201">
        <v>0.2895833333333333</v>
      </c>
      <c r="O201">
        <v>7</v>
      </c>
      <c r="P201">
        <v>0.04952235417884254</v>
      </c>
      <c r="Q201">
        <v>0.135744960828045</v>
      </c>
      <c r="R201" t="s">
        <v>765</v>
      </c>
      <c r="S201" t="s">
        <v>777</v>
      </c>
      <c r="T201">
        <v>219199.71</v>
      </c>
      <c r="U201" s="2">
        <v>44400</v>
      </c>
      <c r="V201" t="s">
        <v>781</v>
      </c>
    </row>
    <row r="202" spans="1:22">
      <c r="A202" s="1" t="s">
        <v>222</v>
      </c>
      <c r="B202">
        <f>HYPERLINK("https://www.suredividend.com/sure-analysis-HII/","Huntington Ingalls Industries Inc")</f>
        <v>0</v>
      </c>
      <c r="C202">
        <v>197.49</v>
      </c>
      <c r="D202">
        <v>209</v>
      </c>
      <c r="E202">
        <v>0.9449282296650718</v>
      </c>
      <c r="F202">
        <v>0.0230897766975543</v>
      </c>
      <c r="G202">
        <v>0.01139367947736281</v>
      </c>
      <c r="H202">
        <v>0.05</v>
      </c>
      <c r="I202">
        <v>0.08529099071401047</v>
      </c>
      <c r="J202" t="s">
        <v>762</v>
      </c>
      <c r="K202" t="s">
        <v>762</v>
      </c>
      <c r="L202">
        <v>14.95</v>
      </c>
      <c r="M202">
        <v>4.56</v>
      </c>
      <c r="N202">
        <v>0.3050167224080267</v>
      </c>
      <c r="O202">
        <v>9</v>
      </c>
      <c r="P202">
        <v>0.09988237670646449</v>
      </c>
      <c r="Q202">
        <v>0.428698374556331</v>
      </c>
      <c r="R202" t="s">
        <v>765</v>
      </c>
      <c r="S202" t="s">
        <v>772</v>
      </c>
      <c r="T202">
        <v>7808.968276</v>
      </c>
      <c r="U202" s="2">
        <v>44424</v>
      </c>
      <c r="V202" t="s">
        <v>788</v>
      </c>
    </row>
    <row r="203" spans="1:22">
      <c r="A203" s="1" t="s">
        <v>223</v>
      </c>
      <c r="B203">
        <f>HYPERLINK("https://www.suredividend.com/sure-analysis-IMO/","Imperial Oil Ltd.")</f>
        <v>0</v>
      </c>
      <c r="C203">
        <v>29.76</v>
      </c>
      <c r="D203">
        <v>28</v>
      </c>
      <c r="E203">
        <v>1.062857142857143</v>
      </c>
      <c r="F203">
        <v>0.02788978494623656</v>
      </c>
      <c r="G203">
        <v>-0.01211811695788712</v>
      </c>
      <c r="H203">
        <v>0.07000000000000001</v>
      </c>
      <c r="I203">
        <v>0.08314377203103684</v>
      </c>
      <c r="J203" t="s">
        <v>762</v>
      </c>
      <c r="K203" t="s">
        <v>762</v>
      </c>
      <c r="L203">
        <v>2</v>
      </c>
      <c r="M203">
        <v>0.83</v>
      </c>
      <c r="N203">
        <v>0.415</v>
      </c>
      <c r="O203">
        <v>6</v>
      </c>
      <c r="P203">
        <v>0.06924192562875131</v>
      </c>
      <c r="Q203">
        <v>1.429431197461812</v>
      </c>
      <c r="R203" t="s">
        <v>765</v>
      </c>
      <c r="S203" t="s">
        <v>778</v>
      </c>
      <c r="T203">
        <v>20755.417141</v>
      </c>
      <c r="U203" s="2">
        <v>44434</v>
      </c>
      <c r="V203" t="s">
        <v>787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21.01</v>
      </c>
      <c r="D204">
        <v>21</v>
      </c>
      <c r="E204">
        <v>1.000476190476191</v>
      </c>
      <c r="F204">
        <v>0.03807710613993336</v>
      </c>
      <c r="G204">
        <v>-9.521089385233772e-05</v>
      </c>
      <c r="H204">
        <v>0.05</v>
      </c>
      <c r="I204">
        <v>0.08297985654361928</v>
      </c>
      <c r="J204" t="s">
        <v>762</v>
      </c>
      <c r="K204" t="s">
        <v>761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0.302777917568315</v>
      </c>
      <c r="R204" t="s">
        <v>765</v>
      </c>
      <c r="S204" t="s">
        <v>774</v>
      </c>
      <c r="T204">
        <v>744.2811369999999</v>
      </c>
      <c r="U204" s="2">
        <v>44434</v>
      </c>
      <c r="V204" t="s">
        <v>782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115.06</v>
      </c>
      <c r="D205">
        <v>113</v>
      </c>
      <c r="E205">
        <v>1.018230088495575</v>
      </c>
      <c r="F205">
        <v>0.04023987484790544</v>
      </c>
      <c r="G205">
        <v>-0.003606662855150877</v>
      </c>
      <c r="H205">
        <v>0.05</v>
      </c>
      <c r="I205">
        <v>0.08257376597324462</v>
      </c>
      <c r="J205" t="s">
        <v>762</v>
      </c>
      <c r="K205" t="s">
        <v>761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0.602990171812513</v>
      </c>
      <c r="R205" t="s">
        <v>765</v>
      </c>
      <c r="S205" t="s">
        <v>773</v>
      </c>
      <c r="T205">
        <v>51846.287733</v>
      </c>
      <c r="U205" s="2">
        <v>44442</v>
      </c>
      <c r="V205" t="s">
        <v>789</v>
      </c>
    </row>
    <row r="206" spans="1:22">
      <c r="A206" s="1" t="s">
        <v>226</v>
      </c>
      <c r="B206">
        <f>HYPERLINK("https://www.suredividend.com/sure-analysis-TTC/","Toro Co.")</f>
        <v>0</v>
      </c>
      <c r="C206">
        <v>98.87</v>
      </c>
      <c r="D206">
        <v>83</v>
      </c>
      <c r="E206">
        <v>1.191204819277109</v>
      </c>
      <c r="F206">
        <v>0.0106200060685749</v>
      </c>
      <c r="G206">
        <v>-0.03438787239694041</v>
      </c>
      <c r="H206">
        <v>0.11</v>
      </c>
      <c r="I206">
        <v>0.08242161427357697</v>
      </c>
      <c r="J206" t="s">
        <v>762</v>
      </c>
      <c r="K206" t="s">
        <v>498</v>
      </c>
      <c r="L206">
        <v>3.55</v>
      </c>
      <c r="M206">
        <v>1.05</v>
      </c>
      <c r="N206">
        <v>0.295774647887324</v>
      </c>
      <c r="O206">
        <v>11</v>
      </c>
      <c r="P206">
        <v>0.09986525071768737</v>
      </c>
      <c r="Q206">
        <v>0.234038079808055</v>
      </c>
      <c r="R206" t="s">
        <v>765</v>
      </c>
      <c r="S206" t="s">
        <v>772</v>
      </c>
      <c r="T206">
        <v>10621.049472</v>
      </c>
      <c r="U206" s="2">
        <v>44453</v>
      </c>
      <c r="V206" t="s">
        <v>782</v>
      </c>
    </row>
    <row r="207" spans="1:22">
      <c r="A207" s="1" t="s">
        <v>227</v>
      </c>
      <c r="B207">
        <f>HYPERLINK("https://www.suredividend.com/sure-analysis-ORI/","Old Republic International Corp.")</f>
        <v>0</v>
      </c>
      <c r="C207">
        <v>23.11</v>
      </c>
      <c r="D207">
        <v>29</v>
      </c>
      <c r="E207">
        <v>0.7968965517241379</v>
      </c>
      <c r="F207">
        <v>0.03807875378623973</v>
      </c>
      <c r="G207">
        <v>0.04645271835224118</v>
      </c>
      <c r="H207">
        <v>0</v>
      </c>
      <c r="I207">
        <v>0.08089353213693706</v>
      </c>
      <c r="J207" t="s">
        <v>762</v>
      </c>
      <c r="K207" t="s">
        <v>762</v>
      </c>
      <c r="L207">
        <v>2.4</v>
      </c>
      <c r="M207">
        <v>0.88</v>
      </c>
      <c r="N207">
        <v>0.3666666666666667</v>
      </c>
      <c r="O207">
        <v>40</v>
      </c>
      <c r="P207">
        <v>0.04941452284458392</v>
      </c>
      <c r="Q207">
        <v>0.9055413638881311</v>
      </c>
      <c r="R207" t="s">
        <v>765</v>
      </c>
      <c r="S207" t="s">
        <v>773</v>
      </c>
      <c r="T207">
        <v>7047.269936</v>
      </c>
      <c r="U207" s="2">
        <v>44401</v>
      </c>
      <c r="V207" t="s">
        <v>785</v>
      </c>
    </row>
    <row r="208" spans="1:22">
      <c r="A208" s="1" t="s">
        <v>228</v>
      </c>
      <c r="B208">
        <f>HYPERLINK("https://www.suredividend.com/sure-analysis-IPG/","Interpublic Group Of Cos., Inc.")</f>
        <v>0</v>
      </c>
      <c r="C208">
        <v>38.725</v>
      </c>
      <c r="D208">
        <v>36</v>
      </c>
      <c r="E208">
        <v>1.075694444444445</v>
      </c>
      <c r="F208">
        <v>0.02788896061975468</v>
      </c>
      <c r="G208">
        <v>-0.01448732360936544</v>
      </c>
      <c r="H208">
        <v>0.07000000000000001</v>
      </c>
      <c r="I208">
        <v>0.0805377816466597</v>
      </c>
      <c r="J208" t="s">
        <v>762</v>
      </c>
      <c r="K208" t="s">
        <v>762</v>
      </c>
      <c r="L208">
        <v>2.26</v>
      </c>
      <c r="M208">
        <v>1.08</v>
      </c>
      <c r="N208">
        <v>0.4778761061946903</v>
      </c>
      <c r="O208">
        <v>10</v>
      </c>
      <c r="P208">
        <v>0.06504410274056371</v>
      </c>
      <c r="Q208">
        <v>1.460460319392219</v>
      </c>
      <c r="R208" t="s">
        <v>765</v>
      </c>
      <c r="S208" t="s">
        <v>769</v>
      </c>
      <c r="T208">
        <v>15118.952842</v>
      </c>
      <c r="U208" s="2">
        <v>44399</v>
      </c>
      <c r="V208" t="s">
        <v>780</v>
      </c>
    </row>
    <row r="209" spans="1:22">
      <c r="A209" s="1" t="s">
        <v>229</v>
      </c>
      <c r="B209">
        <f>HYPERLINK("https://www.suredividend.com/sure-analysis-MTB/","M &amp; T Bank Corp")</f>
        <v>0</v>
      </c>
      <c r="C209">
        <v>142.93</v>
      </c>
      <c r="D209">
        <v>140</v>
      </c>
      <c r="E209">
        <v>1.020928571428571</v>
      </c>
      <c r="F209">
        <v>0.03078430000699643</v>
      </c>
      <c r="G209">
        <v>-0.004133947080800282</v>
      </c>
      <c r="H209">
        <v>0.057</v>
      </c>
      <c r="I209">
        <v>0.07887357001614825</v>
      </c>
      <c r="J209" t="s">
        <v>762</v>
      </c>
      <c r="K209" t="s">
        <v>762</v>
      </c>
      <c r="L209">
        <v>14</v>
      </c>
      <c r="M209">
        <v>4.4</v>
      </c>
      <c r="N209">
        <v>0.3142857142857143</v>
      </c>
      <c r="O209">
        <v>4</v>
      </c>
      <c r="P209">
        <v>0.03197912046824536</v>
      </c>
      <c r="Q209">
        <v>0.61150246067741</v>
      </c>
      <c r="R209" t="s">
        <v>765</v>
      </c>
      <c r="S209" t="s">
        <v>773</v>
      </c>
      <c r="T209">
        <v>18265.817401</v>
      </c>
      <c r="U209" s="2">
        <v>44398</v>
      </c>
      <c r="V209" t="s">
        <v>781</v>
      </c>
    </row>
    <row r="210" spans="1:22">
      <c r="A210" s="1" t="s">
        <v>230</v>
      </c>
      <c r="B210">
        <f>HYPERLINK("https://www.suredividend.com/sure-analysis-ARTNA/","Artesian Resources Corp.")</f>
        <v>0</v>
      </c>
      <c r="C210">
        <v>38.31</v>
      </c>
      <c r="D210">
        <v>44.6</v>
      </c>
      <c r="E210">
        <v>0.8589686098654709</v>
      </c>
      <c r="F210">
        <v>0.02793004437483686</v>
      </c>
      <c r="G210">
        <v>0.03087151965982904</v>
      </c>
      <c r="H210">
        <v>0.023</v>
      </c>
      <c r="I210">
        <v>0.07863593803933688</v>
      </c>
      <c r="J210" t="s">
        <v>762</v>
      </c>
      <c r="K210" t="s">
        <v>762</v>
      </c>
      <c r="L210">
        <v>2.23</v>
      </c>
      <c r="M210">
        <v>1.07</v>
      </c>
      <c r="N210">
        <v>0.4798206278026906</v>
      </c>
      <c r="O210">
        <v>25</v>
      </c>
      <c r="P210">
        <v>0.03649029114773783</v>
      </c>
      <c r="Q210">
        <v>0.199177600466398</v>
      </c>
      <c r="R210" t="s">
        <v>765</v>
      </c>
      <c r="S210" t="s">
        <v>776</v>
      </c>
      <c r="T210">
        <v>329.456064</v>
      </c>
      <c r="U210" s="2">
        <v>44421</v>
      </c>
      <c r="V210" t="s">
        <v>790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47.99</v>
      </c>
      <c r="D211">
        <v>50</v>
      </c>
      <c r="E211">
        <v>0.9598</v>
      </c>
      <c r="F211">
        <v>0.06501354448843509</v>
      </c>
      <c r="G211">
        <v>0.008239831991436519</v>
      </c>
      <c r="H211">
        <v>0.015</v>
      </c>
      <c r="I211">
        <v>0.07824193172883875</v>
      </c>
      <c r="J211" t="s">
        <v>762</v>
      </c>
      <c r="K211" t="s">
        <v>761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0.245294324532037</v>
      </c>
      <c r="R211" t="s">
        <v>765</v>
      </c>
      <c r="S211" t="s">
        <v>774</v>
      </c>
      <c r="T211">
        <v>1174.822664</v>
      </c>
      <c r="U211" s="2">
        <v>44440</v>
      </c>
      <c r="V211" t="s">
        <v>783</v>
      </c>
    </row>
    <row r="212" spans="1:22">
      <c r="A212" s="1" t="s">
        <v>232</v>
      </c>
      <c r="B212">
        <f>HYPERLINK("https://www.suredividend.com/sure-analysis-CONE/","CyrusOne Inc")</f>
        <v>0</v>
      </c>
      <c r="C212">
        <v>74.73</v>
      </c>
      <c r="D212">
        <v>72</v>
      </c>
      <c r="E212">
        <v>1.037916666666667</v>
      </c>
      <c r="F212">
        <v>0.0278335340559347</v>
      </c>
      <c r="G212">
        <v>-0.007415468514623824</v>
      </c>
      <c r="H212">
        <v>0.06</v>
      </c>
      <c r="I212">
        <v>0.07622140872439687</v>
      </c>
      <c r="J212" t="s">
        <v>762</v>
      </c>
      <c r="K212" t="s">
        <v>358</v>
      </c>
      <c r="L212">
        <v>4</v>
      </c>
      <c r="M212">
        <v>2.08</v>
      </c>
      <c r="N212">
        <v>0.52</v>
      </c>
      <c r="O212">
        <v>8</v>
      </c>
      <c r="P212">
        <v>0.03496752704080697</v>
      </c>
      <c r="Q212">
        <v>0.154394827001555</v>
      </c>
      <c r="R212" t="s">
        <v>767</v>
      </c>
      <c r="S212" t="s">
        <v>779</v>
      </c>
      <c r="T212">
        <v>9794.98113</v>
      </c>
      <c r="U212" s="2">
        <v>44406</v>
      </c>
      <c r="V212" t="s">
        <v>780</v>
      </c>
    </row>
    <row r="213" spans="1:22">
      <c r="A213" s="1" t="s">
        <v>233</v>
      </c>
      <c r="B213">
        <f>HYPERLINK("https://www.suredividend.com/sure-analysis-MET/","Metlife Inc")</f>
        <v>0</v>
      </c>
      <c r="C213">
        <v>62.115</v>
      </c>
      <c r="D213">
        <v>68</v>
      </c>
      <c r="E213">
        <v>0.9134558823529412</v>
      </c>
      <c r="F213">
        <v>0.03091040811398213</v>
      </c>
      <c r="G213">
        <v>0.01826891147681486</v>
      </c>
      <c r="H213">
        <v>0.03</v>
      </c>
      <c r="I213">
        <v>0.07616274712373783</v>
      </c>
      <c r="J213" t="s">
        <v>762</v>
      </c>
      <c r="K213" t="s">
        <v>762</v>
      </c>
      <c r="L213">
        <v>7.5</v>
      </c>
      <c r="M213">
        <v>1.92</v>
      </c>
      <c r="N213">
        <v>0.256</v>
      </c>
      <c r="O213">
        <v>9</v>
      </c>
      <c r="P213">
        <v>0.0403582746309219</v>
      </c>
      <c r="Q213">
        <v>0.7608761264174531</v>
      </c>
      <c r="R213" t="s">
        <v>765</v>
      </c>
      <c r="S213" t="s">
        <v>773</v>
      </c>
      <c r="T213">
        <v>52493.538461</v>
      </c>
      <c r="U213" s="2">
        <v>44417</v>
      </c>
      <c r="V213" t="s">
        <v>784</v>
      </c>
    </row>
    <row r="214" spans="1:22">
      <c r="A214" s="1" t="s">
        <v>234</v>
      </c>
      <c r="B214">
        <f>HYPERLINK("https://www.suredividend.com/sure-analysis-FOXA/","Fox Corporation")</f>
        <v>0</v>
      </c>
      <c r="C214">
        <v>38.83</v>
      </c>
      <c r="D214">
        <v>42</v>
      </c>
      <c r="E214">
        <v>0.9245238095238095</v>
      </c>
      <c r="F214">
        <v>0.01184651043007984</v>
      </c>
      <c r="G214">
        <v>0.01581911298802341</v>
      </c>
      <c r="H214">
        <v>0.05</v>
      </c>
      <c r="I214">
        <v>0.07560999106976118</v>
      </c>
      <c r="J214" t="s">
        <v>762</v>
      </c>
      <c r="K214" t="s">
        <v>358</v>
      </c>
      <c r="L214">
        <v>2.77</v>
      </c>
      <c r="M214">
        <v>0.46</v>
      </c>
      <c r="N214">
        <v>0.1660649819494585</v>
      </c>
      <c r="O214">
        <v>0</v>
      </c>
      <c r="P214">
        <v>0</v>
      </c>
      <c r="Q214">
        <v>0.500640564947036</v>
      </c>
      <c r="R214" t="s">
        <v>765</v>
      </c>
      <c r="S214" t="s">
        <v>769</v>
      </c>
      <c r="T214">
        <v>21394.468086</v>
      </c>
      <c r="U214" s="2">
        <v>44425</v>
      </c>
      <c r="V214" t="s">
        <v>786</v>
      </c>
    </row>
    <row r="215" spans="1:22">
      <c r="A215" s="1" t="s">
        <v>235</v>
      </c>
      <c r="B215">
        <f>HYPERLINK("https://www.suredividend.com/sure-analysis-OTTR/","Otter Tail Corporation")</f>
        <v>0</v>
      </c>
      <c r="C215">
        <v>56.29</v>
      </c>
      <c r="D215">
        <v>65.2</v>
      </c>
      <c r="E215">
        <v>0.8633435582822085</v>
      </c>
      <c r="F215">
        <v>0.02771362586605081</v>
      </c>
      <c r="G215">
        <v>0.02982461793246904</v>
      </c>
      <c r="H215">
        <v>0.02</v>
      </c>
      <c r="I215">
        <v>0.07430329041762107</v>
      </c>
      <c r="J215" t="s">
        <v>762</v>
      </c>
      <c r="K215" t="s">
        <v>762</v>
      </c>
      <c r="L215">
        <v>3.26</v>
      </c>
      <c r="M215">
        <v>1.56</v>
      </c>
      <c r="N215">
        <v>0.4785276073619633</v>
      </c>
      <c r="O215">
        <v>8</v>
      </c>
      <c r="P215">
        <v>0.03131030647754507</v>
      </c>
      <c r="Q215">
        <v>0.6177060979519451</v>
      </c>
      <c r="R215" t="s">
        <v>765</v>
      </c>
      <c r="S215" t="s">
        <v>776</v>
      </c>
      <c r="T215">
        <v>2326.618097</v>
      </c>
      <c r="U215" s="2">
        <v>44420</v>
      </c>
      <c r="V215" t="s">
        <v>790</v>
      </c>
    </row>
    <row r="216" spans="1:22">
      <c r="A216" s="1" t="s">
        <v>236</v>
      </c>
      <c r="B216">
        <f>HYPERLINK("https://www.suredividend.com/sure-analysis-YORW/","York Water Co.")</f>
        <v>0</v>
      </c>
      <c r="C216">
        <v>45.12</v>
      </c>
      <c r="D216">
        <v>45</v>
      </c>
      <c r="E216">
        <v>1.002666666666667</v>
      </c>
      <c r="F216">
        <v>0.01662234042553191</v>
      </c>
      <c r="G216">
        <v>-0.000532481665188711</v>
      </c>
      <c r="H216">
        <v>0.06</v>
      </c>
      <c r="I216">
        <v>0.07387640467799694</v>
      </c>
      <c r="J216" t="s">
        <v>762</v>
      </c>
      <c r="K216" t="s">
        <v>358</v>
      </c>
      <c r="L216">
        <v>1.29</v>
      </c>
      <c r="M216">
        <v>0.75</v>
      </c>
      <c r="N216">
        <v>0.5813953488372093</v>
      </c>
      <c r="O216">
        <v>24</v>
      </c>
      <c r="P216">
        <v>0.03943186329943948</v>
      </c>
      <c r="Q216">
        <v>0.117643823836735</v>
      </c>
      <c r="R216" t="s">
        <v>765</v>
      </c>
      <c r="S216" t="s">
        <v>776</v>
      </c>
      <c r="T216">
        <v>585.407121</v>
      </c>
      <c r="U216" s="2">
        <v>44416</v>
      </c>
      <c r="V216" t="s">
        <v>780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215.02</v>
      </c>
      <c r="D217">
        <v>226</v>
      </c>
      <c r="E217">
        <v>0.9514159292035399</v>
      </c>
      <c r="F217">
        <v>0.02288159241000837</v>
      </c>
      <c r="G217">
        <v>0.0100105642410202</v>
      </c>
      <c r="H217">
        <v>0.04</v>
      </c>
      <c r="I217">
        <v>0.07321788345923808</v>
      </c>
      <c r="J217" t="s">
        <v>762</v>
      </c>
      <c r="K217" t="s">
        <v>762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0.56368549715644</v>
      </c>
      <c r="R217" t="s">
        <v>765</v>
      </c>
      <c r="S217" t="s">
        <v>772</v>
      </c>
      <c r="T217">
        <v>11623.628739</v>
      </c>
      <c r="U217" s="2">
        <v>44402</v>
      </c>
      <c r="V217" t="s">
        <v>785</v>
      </c>
    </row>
    <row r="218" spans="1:22">
      <c r="A218" s="1" t="s">
        <v>238</v>
      </c>
      <c r="B218">
        <f>HYPERLINK("https://www.suredividend.com/sure-analysis-RDEIY/","Red Electrica Corporacion S.A.")</f>
        <v>0</v>
      </c>
      <c r="C218">
        <v>10.33</v>
      </c>
      <c r="D218">
        <v>8.699999999999999</v>
      </c>
      <c r="E218">
        <v>1.187356321839081</v>
      </c>
      <c r="F218">
        <v>0.05808325266214908</v>
      </c>
      <c r="G218">
        <v>-0.03376272776090639</v>
      </c>
      <c r="H218">
        <v>0.05</v>
      </c>
      <c r="I218">
        <v>0.07159554413850544</v>
      </c>
      <c r="J218" t="s">
        <v>762</v>
      </c>
      <c r="K218" t="s">
        <v>761</v>
      </c>
      <c r="L218">
        <v>1.45</v>
      </c>
      <c r="M218">
        <v>0.6</v>
      </c>
      <c r="N218">
        <v>0.4137931034482759</v>
      </c>
      <c r="O218">
        <v>4</v>
      </c>
      <c r="P218">
        <v>0.05115774595007161</v>
      </c>
      <c r="Q218">
        <v>0.127729257641921</v>
      </c>
      <c r="R218" t="s">
        <v>765</v>
      </c>
      <c r="S218" t="s">
        <v>776</v>
      </c>
      <c r="T218">
        <v>11178.7128</v>
      </c>
      <c r="U218" s="2">
        <v>44405</v>
      </c>
      <c r="V218" t="s">
        <v>781</v>
      </c>
    </row>
    <row r="219" spans="1:22">
      <c r="A219" s="1" t="s">
        <v>239</v>
      </c>
      <c r="B219">
        <f>HYPERLINK("https://www.suredividend.com/sure-analysis-KMB/","Kimberly-Clark Corp.")</f>
        <v>0</v>
      </c>
      <c r="C219">
        <v>133.7</v>
      </c>
      <c r="D219">
        <v>122</v>
      </c>
      <c r="E219">
        <v>1.095901639344262</v>
      </c>
      <c r="F219">
        <v>0.03410620792819746</v>
      </c>
      <c r="G219">
        <v>-0.01814877866525488</v>
      </c>
      <c r="H219">
        <v>0.06</v>
      </c>
      <c r="I219">
        <v>0.07156749045077748</v>
      </c>
      <c r="J219" t="s">
        <v>762</v>
      </c>
      <c r="K219" t="s">
        <v>761</v>
      </c>
      <c r="L219">
        <v>6.8</v>
      </c>
      <c r="M219">
        <v>4.56</v>
      </c>
      <c r="N219">
        <v>0.6705882352941176</v>
      </c>
      <c r="O219">
        <v>49</v>
      </c>
      <c r="P219">
        <v>0.03932663634209943</v>
      </c>
      <c r="Q219">
        <v>-0.046300613072064</v>
      </c>
      <c r="R219" t="s">
        <v>765</v>
      </c>
      <c r="S219" t="s">
        <v>774</v>
      </c>
      <c r="T219">
        <v>44984.679581</v>
      </c>
      <c r="U219" s="2">
        <v>44403</v>
      </c>
      <c r="V219" t="s">
        <v>785</v>
      </c>
    </row>
    <row r="220" spans="1:22">
      <c r="A220" s="1" t="s">
        <v>240</v>
      </c>
      <c r="B220">
        <f>HYPERLINK("https://www.suredividend.com/sure-analysis-CVS/","CVS Health Corp")</f>
        <v>0</v>
      </c>
      <c r="C220">
        <v>85.13</v>
      </c>
      <c r="D220">
        <v>85</v>
      </c>
      <c r="E220">
        <v>1.001529411764706</v>
      </c>
      <c r="F220">
        <v>0.02349348055914484</v>
      </c>
      <c r="G220">
        <v>-0.0003056019753303607</v>
      </c>
      <c r="H220">
        <v>0.05</v>
      </c>
      <c r="I220">
        <v>0.07121833937112898</v>
      </c>
      <c r="J220" t="s">
        <v>762</v>
      </c>
      <c r="K220" t="s">
        <v>762</v>
      </c>
      <c r="L220">
        <v>7.75</v>
      </c>
      <c r="M220">
        <v>2</v>
      </c>
      <c r="N220">
        <v>0.2580645161290323</v>
      </c>
      <c r="O220">
        <v>0</v>
      </c>
      <c r="P220">
        <v>0.04978904632428516</v>
      </c>
      <c r="Q220">
        <v>0.519911448948814</v>
      </c>
      <c r="R220" t="s">
        <v>765</v>
      </c>
      <c r="S220" t="s">
        <v>770</v>
      </c>
      <c r="T220">
        <v>111979.112776</v>
      </c>
      <c r="U220" s="2">
        <v>44415</v>
      </c>
      <c r="V220" t="s">
        <v>781</v>
      </c>
    </row>
    <row r="221" spans="1:22">
      <c r="A221" s="1" t="s">
        <v>241</v>
      </c>
      <c r="B221">
        <f>HYPERLINK("https://www.suredividend.com/sure-analysis-ICE/","Intercontinental Exchange Inc")</f>
        <v>0</v>
      </c>
      <c r="C221">
        <v>119.4</v>
      </c>
      <c r="D221">
        <v>103</v>
      </c>
      <c r="E221">
        <v>1.159223300970874</v>
      </c>
      <c r="F221">
        <v>0.01105527638190955</v>
      </c>
      <c r="G221">
        <v>-0.02911770899598309</v>
      </c>
      <c r="H221">
        <v>0.09</v>
      </c>
      <c r="I221">
        <v>0.07053017617770663</v>
      </c>
      <c r="J221" t="s">
        <v>762</v>
      </c>
      <c r="K221" t="s">
        <v>498</v>
      </c>
      <c r="L221">
        <v>4.92</v>
      </c>
      <c r="M221">
        <v>1.32</v>
      </c>
      <c r="N221">
        <v>0.2682926829268293</v>
      </c>
      <c r="O221">
        <v>8</v>
      </c>
      <c r="P221">
        <v>0.1203569122523565</v>
      </c>
      <c r="Q221">
        <v>0.239832714859328</v>
      </c>
      <c r="R221" t="s">
        <v>765</v>
      </c>
      <c r="S221" t="s">
        <v>773</v>
      </c>
      <c r="T221">
        <v>66964.784356</v>
      </c>
      <c r="U221" s="2">
        <v>44430</v>
      </c>
      <c r="V221" t="s">
        <v>788</v>
      </c>
    </row>
    <row r="222" spans="1:22">
      <c r="A222" s="1" t="s">
        <v>242</v>
      </c>
      <c r="B222">
        <f>HYPERLINK("https://www.suredividend.com/sure-analysis-UPS/","United Parcel Service, Inc.")</f>
        <v>0</v>
      </c>
      <c r="C222">
        <v>187.6</v>
      </c>
      <c r="D222">
        <v>187</v>
      </c>
      <c r="E222">
        <v>1.003208556149733</v>
      </c>
      <c r="F222">
        <v>0.02174840085287847</v>
      </c>
      <c r="G222">
        <v>-0.0006404787493736741</v>
      </c>
      <c r="H222">
        <v>0.05</v>
      </c>
      <c r="I222">
        <v>0.07012001314476946</v>
      </c>
      <c r="J222" t="s">
        <v>762</v>
      </c>
      <c r="K222" t="s">
        <v>358</v>
      </c>
      <c r="L222">
        <v>11</v>
      </c>
      <c r="M222">
        <v>4.08</v>
      </c>
      <c r="N222">
        <v>0.3709090909090909</v>
      </c>
      <c r="O222">
        <v>12</v>
      </c>
      <c r="P222">
        <v>0.06308972429112014</v>
      </c>
      <c r="Q222">
        <v>0.182475633873789</v>
      </c>
      <c r="R222" t="s">
        <v>765</v>
      </c>
      <c r="S222" t="s">
        <v>772</v>
      </c>
      <c r="T222">
        <v>161461.276</v>
      </c>
      <c r="U222" s="2">
        <v>44406</v>
      </c>
      <c r="V222" t="s">
        <v>784</v>
      </c>
    </row>
    <row r="223" spans="1:22">
      <c r="A223" s="1" t="s">
        <v>243</v>
      </c>
      <c r="B223">
        <f>HYPERLINK("https://www.suredividend.com/sure-analysis-RELX/","RELX Plc")</f>
        <v>0</v>
      </c>
      <c r="C223">
        <v>30.16</v>
      </c>
      <c r="D223">
        <v>28.6</v>
      </c>
      <c r="E223">
        <v>1.054545454545454</v>
      </c>
      <c r="F223">
        <v>0.02155172413793104</v>
      </c>
      <c r="G223">
        <v>-0.0105657512018339</v>
      </c>
      <c r="H223">
        <v>0.06</v>
      </c>
      <c r="I223">
        <v>0.06927393703519491</v>
      </c>
      <c r="J223" t="s">
        <v>762</v>
      </c>
      <c r="K223" t="s">
        <v>358</v>
      </c>
      <c r="L223">
        <v>1.19</v>
      </c>
      <c r="M223">
        <v>0.65</v>
      </c>
      <c r="N223">
        <v>0.546218487394958</v>
      </c>
      <c r="O223">
        <v>10</v>
      </c>
      <c r="P223">
        <v>0.06003737798448272</v>
      </c>
      <c r="Q223">
        <v>0.413751440832141</v>
      </c>
      <c r="R223" t="s">
        <v>765</v>
      </c>
      <c r="S223" t="s">
        <v>769</v>
      </c>
      <c r="T223">
        <v>59057.948952</v>
      </c>
      <c r="U223" s="2">
        <v>44411</v>
      </c>
      <c r="V223" t="s">
        <v>780</v>
      </c>
    </row>
    <row r="224" spans="1:22">
      <c r="A224" s="1" t="s">
        <v>244</v>
      </c>
      <c r="B224">
        <f>HYPERLINK("https://www.suredividend.com/sure-analysis-MSM/","MSC Industrial Direct Co., Inc.")</f>
        <v>0</v>
      </c>
      <c r="C224">
        <v>81.02</v>
      </c>
      <c r="D224">
        <v>75</v>
      </c>
      <c r="E224">
        <v>1.080266666666667</v>
      </c>
      <c r="F224">
        <v>0.0370278943470748</v>
      </c>
      <c r="G224">
        <v>-0.01532297486981415</v>
      </c>
      <c r="H224">
        <v>0.05</v>
      </c>
      <c r="I224">
        <v>0.06904797057822609</v>
      </c>
      <c r="J224" t="s">
        <v>762</v>
      </c>
      <c r="K224" t="s">
        <v>762</v>
      </c>
      <c r="L224">
        <v>4.83</v>
      </c>
      <c r="M224">
        <v>3</v>
      </c>
      <c r="N224">
        <v>0.6211180124223602</v>
      </c>
      <c r="O224">
        <v>16</v>
      </c>
      <c r="P224">
        <v>0.05006335758366887</v>
      </c>
      <c r="Q224">
        <v>0.4334314233375881</v>
      </c>
      <c r="R224" t="s">
        <v>765</v>
      </c>
      <c r="S224" t="s">
        <v>772</v>
      </c>
      <c r="T224">
        <v>3783.856552</v>
      </c>
      <c r="U224" s="2">
        <v>44396</v>
      </c>
      <c r="V224" t="s">
        <v>782</v>
      </c>
    </row>
    <row r="225" spans="1:22">
      <c r="A225" s="1" t="s">
        <v>245</v>
      </c>
      <c r="B225">
        <f>HYPERLINK("https://www.suredividend.com/sure-analysis-DPZ/","Dominos Pizza Inc")</f>
        <v>0</v>
      </c>
      <c r="C225">
        <v>488.17</v>
      </c>
      <c r="D225">
        <v>370</v>
      </c>
      <c r="E225">
        <v>1.319378378378378</v>
      </c>
      <c r="F225">
        <v>0.007702234877194419</v>
      </c>
      <c r="G225">
        <v>-0.05392377781459889</v>
      </c>
      <c r="H225">
        <v>0.12</v>
      </c>
      <c r="I225">
        <v>0.06886559888948574</v>
      </c>
      <c r="J225" t="s">
        <v>762</v>
      </c>
      <c r="K225" t="s">
        <v>498</v>
      </c>
      <c r="L225">
        <v>13.9</v>
      </c>
      <c r="M225">
        <v>3.76</v>
      </c>
      <c r="N225">
        <v>0.2705035971223022</v>
      </c>
      <c r="O225">
        <v>8</v>
      </c>
      <c r="P225">
        <v>0.1480866941841668</v>
      </c>
      <c r="Q225">
        <v>0.201956554347309</v>
      </c>
      <c r="R225" t="s">
        <v>765</v>
      </c>
      <c r="S225" t="s">
        <v>775</v>
      </c>
      <c r="T225">
        <v>18162.123723</v>
      </c>
      <c r="U225" s="2">
        <v>44400</v>
      </c>
      <c r="V225" t="s">
        <v>787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18.59</v>
      </c>
      <c r="D226">
        <v>17</v>
      </c>
      <c r="E226">
        <v>1.093529411764706</v>
      </c>
      <c r="F226">
        <v>0.0322754168908015</v>
      </c>
      <c r="G226">
        <v>-0.01772315571494176</v>
      </c>
      <c r="H226">
        <v>0.06</v>
      </c>
      <c r="I226">
        <v>0.06855812925215532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0.206481193658688</v>
      </c>
      <c r="R226" t="s">
        <v>765</v>
      </c>
      <c r="S226" t="s">
        <v>775</v>
      </c>
      <c r="T226">
        <v>6504.696301</v>
      </c>
      <c r="U226" s="2">
        <v>44434</v>
      </c>
      <c r="V226" t="s">
        <v>787</v>
      </c>
    </row>
    <row r="227" spans="1:22">
      <c r="A227" s="1" t="s">
        <v>247</v>
      </c>
      <c r="B227">
        <f>HYPERLINK("https://www.suredividend.com/sure-analysis-CSCO/","Cisco Systems, Inc.")</f>
        <v>0</v>
      </c>
      <c r="C227">
        <v>56.64</v>
      </c>
      <c r="D227">
        <v>51</v>
      </c>
      <c r="E227">
        <v>1.110588235294118</v>
      </c>
      <c r="F227">
        <v>0.02612994350282486</v>
      </c>
      <c r="G227">
        <v>-0.0207594564697785</v>
      </c>
      <c r="H227">
        <v>0.06</v>
      </c>
      <c r="I227">
        <v>0.06359555515864046</v>
      </c>
      <c r="J227" t="s">
        <v>762</v>
      </c>
      <c r="K227" t="s">
        <v>762</v>
      </c>
      <c r="L227">
        <v>3.42</v>
      </c>
      <c r="M227">
        <v>1.48</v>
      </c>
      <c r="N227">
        <v>0.4327485380116959</v>
      </c>
      <c r="O227">
        <v>11</v>
      </c>
      <c r="P227">
        <v>0.05993856763806171</v>
      </c>
      <c r="Q227">
        <v>0.528094127794924</v>
      </c>
      <c r="R227" t="s">
        <v>765</v>
      </c>
      <c r="S227" t="s">
        <v>777</v>
      </c>
      <c r="T227">
        <v>239103.449135</v>
      </c>
      <c r="U227" s="2">
        <v>44428</v>
      </c>
      <c r="V227" t="s">
        <v>781</v>
      </c>
    </row>
    <row r="228" spans="1:22">
      <c r="A228" s="1" t="s">
        <v>248</v>
      </c>
      <c r="B228">
        <f>HYPERLINK("https://www.suredividend.com/sure-analysis-CIO/","City Office REIT Inc")</f>
        <v>0</v>
      </c>
      <c r="C228">
        <v>18.02</v>
      </c>
      <c r="D228">
        <v>16.05</v>
      </c>
      <c r="E228">
        <v>1.122741433021807</v>
      </c>
      <c r="F228">
        <v>0.03329633740288569</v>
      </c>
      <c r="G228">
        <v>-0.02288866800628453</v>
      </c>
      <c r="H228">
        <v>0.05</v>
      </c>
      <c r="I228">
        <v>0.06356873046365141</v>
      </c>
      <c r="J228" t="s">
        <v>762</v>
      </c>
      <c r="K228" t="s">
        <v>762</v>
      </c>
      <c r="L228">
        <v>1.42</v>
      </c>
      <c r="M228">
        <v>0.6</v>
      </c>
      <c r="N228">
        <v>0.4225352112676056</v>
      </c>
      <c r="O228">
        <v>0</v>
      </c>
      <c r="P228">
        <v>0.1008397341583922</v>
      </c>
      <c r="Q228">
        <v>1.671914451210455</v>
      </c>
      <c r="R228" t="s">
        <v>767</v>
      </c>
      <c r="S228" t="s">
        <v>779</v>
      </c>
      <c r="T228">
        <v>783.5432060000001</v>
      </c>
      <c r="U228" s="2">
        <v>44433</v>
      </c>
      <c r="V228" t="s">
        <v>780</v>
      </c>
    </row>
    <row r="229" spans="1:22">
      <c r="A229" s="1" t="s">
        <v>249</v>
      </c>
      <c r="B229">
        <f>HYPERLINK("https://www.suredividend.com/sure-analysis-SJM/","J.M. Smucker Co.")</f>
        <v>0</v>
      </c>
      <c r="C229">
        <v>119.97</v>
      </c>
      <c r="D229">
        <v>110</v>
      </c>
      <c r="E229">
        <v>1.090636363636364</v>
      </c>
      <c r="F229">
        <v>0.03300825206301575</v>
      </c>
      <c r="G229">
        <v>-0.01720258555840759</v>
      </c>
      <c r="H229">
        <v>0.05</v>
      </c>
      <c r="I229">
        <v>0.06283243539670136</v>
      </c>
      <c r="J229" t="s">
        <v>762</v>
      </c>
      <c r="K229" t="s">
        <v>762</v>
      </c>
      <c r="L229">
        <v>6.9</v>
      </c>
      <c r="M229">
        <v>3.96</v>
      </c>
      <c r="N229">
        <v>0.5739130434782609</v>
      </c>
      <c r="O229">
        <v>24</v>
      </c>
      <c r="P229">
        <v>0.04008868188296377</v>
      </c>
      <c r="Q229">
        <v>0.139251824400934</v>
      </c>
      <c r="R229" t="s">
        <v>765</v>
      </c>
      <c r="S229" t="s">
        <v>774</v>
      </c>
      <c r="T229">
        <v>12978.10006</v>
      </c>
      <c r="U229" s="2">
        <v>44435</v>
      </c>
      <c r="V229" t="s">
        <v>784</v>
      </c>
    </row>
    <row r="230" spans="1:22">
      <c r="A230" s="1" t="s">
        <v>250</v>
      </c>
      <c r="B230">
        <f>HYPERLINK("https://www.suredividend.com/sure-analysis-LNT/","Alliant Energy Corp.")</f>
        <v>0</v>
      </c>
      <c r="C230">
        <v>57.46</v>
      </c>
      <c r="D230">
        <v>51</v>
      </c>
      <c r="E230">
        <v>1.126666666666667</v>
      </c>
      <c r="F230">
        <v>0.0280194918203968</v>
      </c>
      <c r="G230">
        <v>-0.02357045730373952</v>
      </c>
      <c r="H230">
        <v>0.06</v>
      </c>
      <c r="I230">
        <v>0.06264093817558747</v>
      </c>
      <c r="J230" t="s">
        <v>762</v>
      </c>
      <c r="K230" t="s">
        <v>358</v>
      </c>
      <c r="L230">
        <v>2.57</v>
      </c>
      <c r="M230">
        <v>1.61</v>
      </c>
      <c r="N230">
        <v>0.6264591439688717</v>
      </c>
      <c r="O230">
        <v>18</v>
      </c>
      <c r="P230">
        <v>0.05955258842469102</v>
      </c>
      <c r="Q230">
        <v>0.182980780953286</v>
      </c>
      <c r="R230" t="s">
        <v>765</v>
      </c>
      <c r="S230" t="s">
        <v>776</v>
      </c>
      <c r="T230">
        <v>14327.262256</v>
      </c>
      <c r="U230" s="2">
        <v>44436</v>
      </c>
      <c r="V230" t="s">
        <v>786</v>
      </c>
    </row>
    <row r="231" spans="1:22">
      <c r="A231" s="1" t="s">
        <v>251</v>
      </c>
      <c r="B231">
        <f>HYPERLINK("https://www.suredividend.com/sure-analysis-KO/","Coca-Cola Co")</f>
        <v>0</v>
      </c>
      <c r="C231">
        <v>54.09</v>
      </c>
      <c r="D231">
        <v>50</v>
      </c>
      <c r="E231">
        <v>1.0818</v>
      </c>
      <c r="F231">
        <v>0.03105934553521908</v>
      </c>
      <c r="G231">
        <v>-0.0156022676866272</v>
      </c>
      <c r="H231">
        <v>0.05</v>
      </c>
      <c r="I231">
        <v>0.06256929881612039</v>
      </c>
      <c r="J231" t="s">
        <v>762</v>
      </c>
      <c r="K231" t="s">
        <v>761</v>
      </c>
      <c r="L231">
        <v>2.25</v>
      </c>
      <c r="M231">
        <v>1.68</v>
      </c>
      <c r="N231">
        <v>0.7466666666666666</v>
      </c>
      <c r="O231">
        <v>59</v>
      </c>
      <c r="P231">
        <v>0.03959498820755258</v>
      </c>
      <c r="Q231">
        <v>0.1563662197267</v>
      </c>
      <c r="R231" t="s">
        <v>765</v>
      </c>
      <c r="S231" t="s">
        <v>774</v>
      </c>
      <c r="T231">
        <v>233003.223245</v>
      </c>
      <c r="U231" s="2">
        <v>44400</v>
      </c>
      <c r="V231" t="s">
        <v>785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78.23</v>
      </c>
      <c r="D232">
        <v>72.8</v>
      </c>
      <c r="E232">
        <v>1.074587912087912</v>
      </c>
      <c r="F232">
        <v>0.03387447270867953</v>
      </c>
      <c r="G232">
        <v>-0.01428444532242812</v>
      </c>
      <c r="H232">
        <v>0.039</v>
      </c>
      <c r="I232">
        <v>0.06108370430174825</v>
      </c>
      <c r="J232" t="s">
        <v>762</v>
      </c>
      <c r="K232" t="s">
        <v>762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0.442803349817788</v>
      </c>
      <c r="R232" t="s">
        <v>766</v>
      </c>
      <c r="S232" t="s">
        <v>776</v>
      </c>
      <c r="T232">
        <v>6015.38933</v>
      </c>
      <c r="U232" s="2">
        <v>44415</v>
      </c>
      <c r="V232" t="s">
        <v>790</v>
      </c>
    </row>
    <row r="233" spans="1:22">
      <c r="A233" s="1" t="s">
        <v>253</v>
      </c>
      <c r="B233">
        <f>HYPERLINK("https://www.suredividend.com/sure-analysis-HNI/","HNI Corp.")</f>
        <v>0</v>
      </c>
      <c r="C233">
        <v>36.34</v>
      </c>
      <c r="D233">
        <v>32</v>
      </c>
      <c r="E233">
        <v>1.135625</v>
      </c>
      <c r="F233">
        <v>0.0341221794166208</v>
      </c>
      <c r="G233">
        <v>-0.02511584656532029</v>
      </c>
      <c r="H233">
        <v>0.055</v>
      </c>
      <c r="I233">
        <v>0.06090874229089449</v>
      </c>
      <c r="J233" t="s">
        <v>762</v>
      </c>
      <c r="K233" t="s">
        <v>762</v>
      </c>
      <c r="L233">
        <v>2.26</v>
      </c>
      <c r="M233">
        <v>1.24</v>
      </c>
      <c r="N233">
        <v>0.5486725663716815</v>
      </c>
      <c r="O233">
        <v>9</v>
      </c>
      <c r="P233">
        <v>0.04156021015686417</v>
      </c>
      <c r="Q233">
        <v>0.237657626994217</v>
      </c>
      <c r="R233" t="s">
        <v>765</v>
      </c>
      <c r="S233" t="s">
        <v>772</v>
      </c>
      <c r="T233">
        <v>1627.331168</v>
      </c>
      <c r="U233" s="2">
        <v>44407</v>
      </c>
      <c r="V233" t="s">
        <v>781</v>
      </c>
    </row>
    <row r="234" spans="1:22">
      <c r="A234" s="1" t="s">
        <v>254</v>
      </c>
      <c r="B234">
        <f>HYPERLINK("https://www.suredividend.com/sure-analysis-AMX/","America Movil S.A.B.DE C.V.")</f>
        <v>0</v>
      </c>
      <c r="C234">
        <v>18.025</v>
      </c>
      <c r="D234">
        <v>18</v>
      </c>
      <c r="E234">
        <v>1.001388888888889</v>
      </c>
      <c r="F234">
        <v>0.02219140083217754</v>
      </c>
      <c r="G234">
        <v>-0.0002775465318027859</v>
      </c>
      <c r="H234">
        <v>0.04</v>
      </c>
      <c r="I234">
        <v>0.06060852670590977</v>
      </c>
      <c r="J234" t="s">
        <v>762</v>
      </c>
      <c r="K234" t="s">
        <v>358</v>
      </c>
      <c r="L234">
        <v>1.35</v>
      </c>
      <c r="M234">
        <v>0.4</v>
      </c>
      <c r="N234">
        <v>0.2962962962962963</v>
      </c>
      <c r="O234">
        <v>0</v>
      </c>
      <c r="P234">
        <v>0.04563955259127317</v>
      </c>
      <c r="Q234">
        <v>0.591114306002402</v>
      </c>
      <c r="R234" t="s">
        <v>765</v>
      </c>
      <c r="S234" t="s">
        <v>769</v>
      </c>
      <c r="T234">
        <v>40936.346171</v>
      </c>
      <c r="U234" s="2">
        <v>44392</v>
      </c>
      <c r="V234" t="s">
        <v>787</v>
      </c>
    </row>
    <row r="235" spans="1:22">
      <c r="A235" s="1" t="s">
        <v>255</v>
      </c>
      <c r="B235">
        <f>HYPERLINK("https://www.suredividend.com/sure-analysis-TXN/","Texas Instruments Inc.")</f>
        <v>0</v>
      </c>
      <c r="C235">
        <v>199.105</v>
      </c>
      <c r="D235">
        <v>160</v>
      </c>
      <c r="E235">
        <v>1.24440625</v>
      </c>
      <c r="F235">
        <v>0.0231033876597775</v>
      </c>
      <c r="G235">
        <v>-0.04278925896688268</v>
      </c>
      <c r="H235">
        <v>0.08</v>
      </c>
      <c r="I235">
        <v>0.05893062831505413</v>
      </c>
      <c r="J235" t="s">
        <v>762</v>
      </c>
      <c r="K235" t="s">
        <v>358</v>
      </c>
      <c r="L235">
        <v>8</v>
      </c>
      <c r="M235">
        <v>4.6</v>
      </c>
      <c r="N235">
        <v>0.575</v>
      </c>
      <c r="O235">
        <v>18</v>
      </c>
      <c r="P235">
        <v>0.09007175117662958</v>
      </c>
      <c r="Q235">
        <v>0.505997610658645</v>
      </c>
      <c r="R235" t="s">
        <v>765</v>
      </c>
      <c r="S235" t="s">
        <v>777</v>
      </c>
      <c r="T235">
        <v>183414.124939</v>
      </c>
      <c r="U235" s="2">
        <v>44408</v>
      </c>
      <c r="V235" t="s">
        <v>783</v>
      </c>
    </row>
    <row r="236" spans="1:22">
      <c r="A236" s="1" t="s">
        <v>256</v>
      </c>
      <c r="B236">
        <f>HYPERLINK("https://www.suredividend.com/sure-analysis-IBM/","International Business Machines Corp.")</f>
        <v>0</v>
      </c>
      <c r="C236">
        <v>138.4</v>
      </c>
      <c r="D236">
        <v>121</v>
      </c>
      <c r="E236">
        <v>1.143801652892562</v>
      </c>
      <c r="F236">
        <v>0.04739884393063584</v>
      </c>
      <c r="G236">
        <v>-0.02651367304975305</v>
      </c>
      <c r="H236">
        <v>0.04</v>
      </c>
      <c r="I236">
        <v>0.05879924892802291</v>
      </c>
      <c r="J236" t="s">
        <v>762</v>
      </c>
      <c r="K236" t="s">
        <v>761</v>
      </c>
      <c r="L236">
        <v>11.03</v>
      </c>
      <c r="M236">
        <v>6.56</v>
      </c>
      <c r="N236">
        <v>0.5947416137805984</v>
      </c>
      <c r="O236">
        <v>26</v>
      </c>
      <c r="P236">
        <v>0.03996760299438673</v>
      </c>
      <c r="Q236">
        <v>0.209906847879853</v>
      </c>
      <c r="R236" t="s">
        <v>765</v>
      </c>
      <c r="S236" t="s">
        <v>777</v>
      </c>
      <c r="T236">
        <v>122553.843581</v>
      </c>
      <c r="U236" s="2">
        <v>44409</v>
      </c>
      <c r="V236" t="s">
        <v>788</v>
      </c>
    </row>
    <row r="237" spans="1:22">
      <c r="A237" s="1" t="s">
        <v>257</v>
      </c>
      <c r="B237">
        <f>HYPERLINK("https://www.suredividend.com/sure-analysis-NC/","Nacco Industries Inc.")</f>
        <v>0</v>
      </c>
      <c r="C237">
        <v>26.48</v>
      </c>
      <c r="D237">
        <v>29</v>
      </c>
      <c r="E237">
        <v>0.9131034482758621</v>
      </c>
      <c r="F237">
        <v>0.02983383685800604</v>
      </c>
      <c r="G237">
        <v>0.01834750438353328</v>
      </c>
      <c r="H237">
        <v>0.01</v>
      </c>
      <c r="I237">
        <v>0.05846118799790001</v>
      </c>
      <c r="J237" t="s">
        <v>762</v>
      </c>
      <c r="K237" t="s">
        <v>762</v>
      </c>
      <c r="L237">
        <v>3.25</v>
      </c>
      <c r="M237">
        <v>0.79</v>
      </c>
      <c r="N237">
        <v>0.2430769230769231</v>
      </c>
      <c r="O237">
        <v>36</v>
      </c>
      <c r="P237">
        <v>0.0585525959968014</v>
      </c>
      <c r="Q237">
        <v>0.464334496469117</v>
      </c>
      <c r="R237" t="s">
        <v>765</v>
      </c>
      <c r="S237" t="s">
        <v>778</v>
      </c>
      <c r="T237">
        <v>148.165345</v>
      </c>
      <c r="U237" s="2">
        <v>44416</v>
      </c>
      <c r="V237" t="s">
        <v>781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63.74</v>
      </c>
      <c r="D238">
        <v>62</v>
      </c>
      <c r="E238">
        <v>1.028064516129032</v>
      </c>
      <c r="F238">
        <v>0.03639786633197364</v>
      </c>
      <c r="G238">
        <v>-0.005520291671138322</v>
      </c>
      <c r="H238">
        <v>0.03</v>
      </c>
      <c r="I238">
        <v>0.058165914619005</v>
      </c>
      <c r="J238" t="s">
        <v>762</v>
      </c>
      <c r="K238" t="s">
        <v>762</v>
      </c>
      <c r="L238">
        <v>4.1</v>
      </c>
      <c r="M238">
        <v>2.32</v>
      </c>
      <c r="N238">
        <v>0.5658536585365854</v>
      </c>
      <c r="O238">
        <v>17</v>
      </c>
      <c r="P238">
        <v>0.03003707999335203</v>
      </c>
      <c r="Q238">
        <v>0.07204699011985101</v>
      </c>
      <c r="R238" t="s">
        <v>765</v>
      </c>
      <c r="S238" t="s">
        <v>774</v>
      </c>
      <c r="T238">
        <v>21526.505945</v>
      </c>
      <c r="U238" s="2">
        <v>44436</v>
      </c>
      <c r="V238" t="s">
        <v>785</v>
      </c>
    </row>
    <row r="239" spans="1:22">
      <c r="A239" s="1" t="s">
        <v>259</v>
      </c>
      <c r="B239">
        <f>HYPERLINK("https://www.suredividend.com/sure-analysis-EQIX/","Equinix Inc")</f>
        <v>0</v>
      </c>
      <c r="C239">
        <v>832.78</v>
      </c>
      <c r="D239">
        <v>638</v>
      </c>
      <c r="E239">
        <v>1.305297805642633</v>
      </c>
      <c r="F239">
        <v>0.01378515334181897</v>
      </c>
      <c r="G239">
        <v>-0.05189141643386408</v>
      </c>
      <c r="H239">
        <v>0.1</v>
      </c>
      <c r="I239">
        <v>0.05812086349996459</v>
      </c>
      <c r="J239" t="s">
        <v>762</v>
      </c>
      <c r="K239" t="s">
        <v>498</v>
      </c>
      <c r="L239">
        <v>27.14</v>
      </c>
      <c r="M239">
        <v>11.48</v>
      </c>
      <c r="N239">
        <v>0.4229918938835667</v>
      </c>
      <c r="O239">
        <v>5</v>
      </c>
      <c r="P239">
        <v>0.1000160063233719</v>
      </c>
      <c r="Q239">
        <v>0.178550030874033</v>
      </c>
      <c r="R239" t="s">
        <v>767</v>
      </c>
      <c r="S239" t="s">
        <v>779</v>
      </c>
      <c r="T239">
        <v>76109.073038</v>
      </c>
      <c r="U239" s="2">
        <v>44406</v>
      </c>
      <c r="V239" t="s">
        <v>782</v>
      </c>
    </row>
    <row r="240" spans="1:22">
      <c r="A240" s="1" t="s">
        <v>260</v>
      </c>
      <c r="B240">
        <f>HYPERLINK("https://www.suredividend.com/sure-analysis-RSG/","Republic Services, Inc.")</f>
        <v>0</v>
      </c>
      <c r="C240">
        <v>125.31</v>
      </c>
      <c r="D240">
        <v>105</v>
      </c>
      <c r="E240">
        <v>1.193428571428572</v>
      </c>
      <c r="F240">
        <v>0.0146835847099194</v>
      </c>
      <c r="G240">
        <v>-0.03474799185913036</v>
      </c>
      <c r="H240">
        <v>0.08</v>
      </c>
      <c r="I240">
        <v>0.05712863152625647</v>
      </c>
      <c r="J240" t="s">
        <v>762</v>
      </c>
      <c r="K240" t="s">
        <v>498</v>
      </c>
      <c r="L240">
        <v>4.03</v>
      </c>
      <c r="M240">
        <v>1.84</v>
      </c>
      <c r="N240">
        <v>0.456575682382134</v>
      </c>
      <c r="O240">
        <v>17</v>
      </c>
      <c r="P240">
        <v>0.0649189212487713</v>
      </c>
      <c r="Q240">
        <v>0.375404352098214</v>
      </c>
      <c r="R240" t="s">
        <v>765</v>
      </c>
      <c r="S240" t="s">
        <v>772</v>
      </c>
      <c r="T240">
        <v>39661.893511</v>
      </c>
      <c r="U240" s="2">
        <v>44407</v>
      </c>
      <c r="V240" t="s">
        <v>780</v>
      </c>
    </row>
    <row r="241" spans="1:22">
      <c r="A241" s="1" t="s">
        <v>261</v>
      </c>
      <c r="B241">
        <f>HYPERLINK("https://www.suredividend.com/sure-analysis-DTE/","DTE Energy Co.")</f>
        <v>0</v>
      </c>
      <c r="C241">
        <v>113.575</v>
      </c>
      <c r="D241">
        <v>102</v>
      </c>
      <c r="E241">
        <v>1.113480392156863</v>
      </c>
      <c r="F241">
        <v>0.02905569007263922</v>
      </c>
      <c r="G241">
        <v>-0.02126868219691536</v>
      </c>
      <c r="H241">
        <v>0.05</v>
      </c>
      <c r="I241">
        <v>0.05625384923588483</v>
      </c>
      <c r="J241" t="s">
        <v>762</v>
      </c>
      <c r="K241" t="s">
        <v>762</v>
      </c>
      <c r="L241">
        <v>6</v>
      </c>
      <c r="M241">
        <v>3.3</v>
      </c>
      <c r="N241">
        <v>0.5499999999999999</v>
      </c>
      <c r="O241">
        <v>12</v>
      </c>
      <c r="P241">
        <v>0.04991376879974663</v>
      </c>
      <c r="Q241">
        <v>0.235403235616105</v>
      </c>
      <c r="R241" t="s">
        <v>765</v>
      </c>
      <c r="S241" t="s">
        <v>776</v>
      </c>
      <c r="T241">
        <v>22039.239268</v>
      </c>
      <c r="U241" s="2">
        <v>44438</v>
      </c>
      <c r="V241" t="s">
        <v>787</v>
      </c>
    </row>
    <row r="242" spans="1:22">
      <c r="A242" s="1" t="s">
        <v>262</v>
      </c>
      <c r="B242">
        <f>HYPERLINK("https://www.suredividend.com/sure-analysis-NSC/","Norfolk Southern Corp.")</f>
        <v>0</v>
      </c>
      <c r="C242">
        <v>244.47</v>
      </c>
      <c r="D242">
        <v>214</v>
      </c>
      <c r="E242">
        <v>1.142383177570093</v>
      </c>
      <c r="F242">
        <v>0.01783449912054649</v>
      </c>
      <c r="G242">
        <v>-0.02627204116457926</v>
      </c>
      <c r="H242">
        <v>0.065</v>
      </c>
      <c r="I242">
        <v>0.05587080993106075</v>
      </c>
      <c r="J242" t="s">
        <v>762</v>
      </c>
      <c r="K242" t="s">
        <v>358</v>
      </c>
      <c r="L242">
        <v>11.9</v>
      </c>
      <c r="M242">
        <v>4.36</v>
      </c>
      <c r="N242">
        <v>0.3663865546218488</v>
      </c>
      <c r="O242">
        <v>5</v>
      </c>
      <c r="P242">
        <v>0.0801257210213755</v>
      </c>
      <c r="Q242">
        <v>0.153007642121511</v>
      </c>
      <c r="R242" t="s">
        <v>765</v>
      </c>
      <c r="S242" t="s">
        <v>772</v>
      </c>
      <c r="T242">
        <v>61507.545513</v>
      </c>
      <c r="U242" s="2">
        <v>44415</v>
      </c>
      <c r="V242" t="s">
        <v>783</v>
      </c>
    </row>
    <row r="243" spans="1:22">
      <c r="A243" s="1" t="s">
        <v>263</v>
      </c>
      <c r="B243">
        <f>HYPERLINK("https://www.suredividend.com/sure-analysis-CLX/","Clorox Co.")</f>
        <v>0</v>
      </c>
      <c r="C243">
        <v>163.65</v>
      </c>
      <c r="D243">
        <v>128</v>
      </c>
      <c r="E243">
        <v>1.278515625</v>
      </c>
      <c r="F243">
        <v>0.02835319278948976</v>
      </c>
      <c r="G243">
        <v>-0.04795211625624596</v>
      </c>
      <c r="H243">
        <v>0.08</v>
      </c>
      <c r="I243">
        <v>0.05533567331877731</v>
      </c>
      <c r="J243" t="s">
        <v>762</v>
      </c>
      <c r="K243" t="s">
        <v>762</v>
      </c>
      <c r="L243">
        <v>5.55</v>
      </c>
      <c r="M243">
        <v>4.64</v>
      </c>
      <c r="N243">
        <v>0.836036036036036</v>
      </c>
      <c r="O243">
        <v>44</v>
      </c>
      <c r="P243">
        <v>0.04017423812999366</v>
      </c>
      <c r="Q243">
        <v>-0.217403624839519</v>
      </c>
      <c r="R243" t="s">
        <v>765</v>
      </c>
      <c r="S243" t="s">
        <v>774</v>
      </c>
      <c r="T243">
        <v>19943.615249</v>
      </c>
      <c r="U243" s="2">
        <v>44415</v>
      </c>
      <c r="V243" t="s">
        <v>785</v>
      </c>
    </row>
    <row r="244" spans="1:22">
      <c r="A244" s="1" t="s">
        <v>264</v>
      </c>
      <c r="B244">
        <f>HYPERLINK("https://www.suredividend.com/sure-analysis-WEYS/","Weyco Group, Inc")</f>
        <v>0</v>
      </c>
      <c r="C244">
        <v>22.86</v>
      </c>
      <c r="D244">
        <v>23</v>
      </c>
      <c r="E244">
        <v>0.9939130434782608</v>
      </c>
      <c r="F244">
        <v>0.04374453193350832</v>
      </c>
      <c r="G244">
        <v>0.001221857372721846</v>
      </c>
      <c r="H244">
        <v>0.01</v>
      </c>
      <c r="I244">
        <v>0.05456629254740442</v>
      </c>
      <c r="J244" t="s">
        <v>762</v>
      </c>
      <c r="K244" t="s">
        <v>761</v>
      </c>
      <c r="L244">
        <v>1.5</v>
      </c>
      <c r="M244">
        <v>1</v>
      </c>
      <c r="N244">
        <v>0.6666666666666666</v>
      </c>
      <c r="O244">
        <v>39</v>
      </c>
      <c r="P244">
        <v>0.04057159395880827</v>
      </c>
      <c r="Q244">
        <v>0.569440534955409</v>
      </c>
      <c r="R244" t="s">
        <v>765</v>
      </c>
      <c r="S244" t="s">
        <v>775</v>
      </c>
      <c r="T244">
        <v>222.054245</v>
      </c>
      <c r="U244" s="2">
        <v>44423</v>
      </c>
      <c r="V244" t="s">
        <v>788</v>
      </c>
    </row>
    <row r="245" spans="1:22">
      <c r="A245" s="1" t="s">
        <v>265</v>
      </c>
      <c r="B245">
        <f>HYPERLINK("https://www.suredividend.com/sure-analysis-ED/","Consolidated Edison, Inc.")</f>
        <v>0</v>
      </c>
      <c r="C245">
        <v>73.39</v>
      </c>
      <c r="D245">
        <v>65</v>
      </c>
      <c r="E245">
        <v>1.129076923076923</v>
      </c>
      <c r="F245">
        <v>0.04224008720534133</v>
      </c>
      <c r="G245">
        <v>-0.02398769330731609</v>
      </c>
      <c r="H245">
        <v>0.035</v>
      </c>
      <c r="I245">
        <v>0.05163946073462156</v>
      </c>
      <c r="J245" t="s">
        <v>762</v>
      </c>
      <c r="K245" t="s">
        <v>761</v>
      </c>
      <c r="L245">
        <v>4.25</v>
      </c>
      <c r="M245">
        <v>3.1</v>
      </c>
      <c r="N245">
        <v>0.7294117647058824</v>
      </c>
      <c r="O245">
        <v>47</v>
      </c>
      <c r="P245">
        <v>0.03489723107282572</v>
      </c>
      <c r="Q245">
        <v>0.026618212047001</v>
      </c>
      <c r="R245" t="s">
        <v>765</v>
      </c>
      <c r="S245" t="s">
        <v>776</v>
      </c>
      <c r="T245">
        <v>25835.743983</v>
      </c>
      <c r="U245" s="2">
        <v>44422</v>
      </c>
      <c r="V245" t="s">
        <v>781</v>
      </c>
    </row>
    <row r="246" spans="1:22">
      <c r="A246" s="1" t="s">
        <v>266</v>
      </c>
      <c r="B246">
        <f>HYPERLINK("https://www.suredividend.com/sure-analysis-CTSH/","Cognizant Technology Solutions Corp.")</f>
        <v>0</v>
      </c>
      <c r="C246">
        <v>77.75</v>
      </c>
      <c r="D246">
        <v>64</v>
      </c>
      <c r="E246">
        <v>1.21484375</v>
      </c>
      <c r="F246">
        <v>0.01234726688102894</v>
      </c>
      <c r="G246">
        <v>-0.03817532316686723</v>
      </c>
      <c r="H246">
        <v>0.08</v>
      </c>
      <c r="I246">
        <v>0.05158346796530533</v>
      </c>
      <c r="J246" t="s">
        <v>762</v>
      </c>
      <c r="K246" t="s">
        <v>498</v>
      </c>
      <c r="L246">
        <v>4</v>
      </c>
      <c r="M246">
        <v>0.96</v>
      </c>
      <c r="N246">
        <v>0.24</v>
      </c>
      <c r="O246">
        <v>2</v>
      </c>
      <c r="P246">
        <v>0.07214502590085092</v>
      </c>
      <c r="Q246">
        <v>0.164461510132249</v>
      </c>
      <c r="R246" t="s">
        <v>765</v>
      </c>
      <c r="S246" t="s">
        <v>777</v>
      </c>
      <c r="T246">
        <v>40549.82398</v>
      </c>
      <c r="U246" s="2">
        <v>44428</v>
      </c>
      <c r="V246" t="s">
        <v>787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203.835</v>
      </c>
      <c r="D247">
        <v>169</v>
      </c>
      <c r="E247">
        <v>1.20612426035503</v>
      </c>
      <c r="F247">
        <v>0.02099737532808399</v>
      </c>
      <c r="G247">
        <v>-0.03678865458909153</v>
      </c>
      <c r="H247">
        <v>0.07000000000000001</v>
      </c>
      <c r="I247">
        <v>0.0513731871268861</v>
      </c>
      <c r="J247" t="s">
        <v>762</v>
      </c>
      <c r="K247" t="s">
        <v>358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0.052969502407704</v>
      </c>
      <c r="R247" t="s">
        <v>765</v>
      </c>
      <c r="S247" t="s">
        <v>772</v>
      </c>
      <c r="T247">
        <v>131546.238045</v>
      </c>
      <c r="U247" s="2">
        <v>44400</v>
      </c>
      <c r="V247" t="s">
        <v>781</v>
      </c>
    </row>
    <row r="248" spans="1:22">
      <c r="A248" s="1" t="s">
        <v>268</v>
      </c>
      <c r="B248">
        <f>HYPERLINK("https://www.suredividend.com/sure-analysis-HRB/","H&amp;R Block Inc.")</f>
        <v>0</v>
      </c>
      <c r="C248">
        <v>25.58</v>
      </c>
      <c r="D248">
        <v>26.6</v>
      </c>
      <c r="E248">
        <v>0.9616541353383458</v>
      </c>
      <c r="F248">
        <v>0.04222048475371384</v>
      </c>
      <c r="G248">
        <v>0.007850740644302689</v>
      </c>
      <c r="H248">
        <v>0.003</v>
      </c>
      <c r="I248">
        <v>0.04994745717748406</v>
      </c>
      <c r="J248" t="s">
        <v>762</v>
      </c>
      <c r="K248" t="s">
        <v>761</v>
      </c>
      <c r="L248">
        <v>2.96</v>
      </c>
      <c r="M248">
        <v>1.08</v>
      </c>
      <c r="N248">
        <v>0.3648648648648649</v>
      </c>
      <c r="O248">
        <v>1</v>
      </c>
      <c r="P248">
        <v>0.01439440873959041</v>
      </c>
      <c r="Q248">
        <v>0.8437454703580221</v>
      </c>
      <c r="R248" t="s">
        <v>765</v>
      </c>
      <c r="S248" t="s">
        <v>775</v>
      </c>
      <c r="T248">
        <v>4626.091873</v>
      </c>
      <c r="U248" s="2">
        <v>44365</v>
      </c>
      <c r="V248" t="s">
        <v>790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101.55</v>
      </c>
      <c r="D249">
        <v>89</v>
      </c>
      <c r="E249">
        <v>1.141011235955056</v>
      </c>
      <c r="F249">
        <v>0.03741999015263417</v>
      </c>
      <c r="G249">
        <v>-0.02603799336191492</v>
      </c>
      <c r="H249">
        <v>0.04</v>
      </c>
      <c r="I249">
        <v>0.0486207537209864</v>
      </c>
      <c r="J249" t="s">
        <v>762</v>
      </c>
      <c r="K249" t="s">
        <v>761</v>
      </c>
      <c r="L249">
        <v>5.95</v>
      </c>
      <c r="M249">
        <v>3.8</v>
      </c>
      <c r="N249">
        <v>0.6386554621848739</v>
      </c>
      <c r="O249">
        <v>27</v>
      </c>
      <c r="P249">
        <v>0.02503093353490349</v>
      </c>
      <c r="Q249">
        <v>0.117933789033985</v>
      </c>
      <c r="R249" t="s">
        <v>765</v>
      </c>
      <c r="S249" t="s">
        <v>776</v>
      </c>
      <c r="T249">
        <v>20619.947094</v>
      </c>
      <c r="U249" s="2">
        <v>44424</v>
      </c>
      <c r="V249" t="s">
        <v>783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42.9</v>
      </c>
      <c r="D250">
        <v>38</v>
      </c>
      <c r="E250">
        <v>1.128947368421053</v>
      </c>
      <c r="F250">
        <v>0.02237762237762238</v>
      </c>
      <c r="G250">
        <v>-0.02396529347926657</v>
      </c>
      <c r="H250">
        <v>0.05</v>
      </c>
      <c r="I250">
        <v>0.04741557738865332</v>
      </c>
      <c r="J250" t="s">
        <v>762</v>
      </c>
      <c r="K250" t="s">
        <v>762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-0.036902595881897</v>
      </c>
      <c r="R250" t="s">
        <v>765</v>
      </c>
      <c r="S250" t="s">
        <v>770</v>
      </c>
      <c r="T250">
        <v>5718.981183</v>
      </c>
      <c r="U250" s="2">
        <v>44419</v>
      </c>
      <c r="V250" t="s">
        <v>781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55.625</v>
      </c>
      <c r="D251">
        <v>55</v>
      </c>
      <c r="E251">
        <v>1.011363636363636</v>
      </c>
      <c r="F251">
        <v>0.02948314606741573</v>
      </c>
      <c r="G251">
        <v>-0.002257359374357115</v>
      </c>
      <c r="H251">
        <v>0.02</v>
      </c>
      <c r="I251">
        <v>0.04532803710300604</v>
      </c>
      <c r="J251" t="s">
        <v>762</v>
      </c>
      <c r="K251" t="s">
        <v>762</v>
      </c>
      <c r="L251">
        <v>3.03</v>
      </c>
      <c r="M251">
        <v>1.64</v>
      </c>
      <c r="N251">
        <v>0.5412541254125413</v>
      </c>
      <c r="O251">
        <v>28</v>
      </c>
      <c r="P251">
        <v>0.01992196624507558</v>
      </c>
      <c r="Q251">
        <v>0.093705338711214</v>
      </c>
      <c r="R251" t="s">
        <v>765</v>
      </c>
      <c r="S251" t="s">
        <v>773</v>
      </c>
      <c r="T251">
        <v>1480.304643</v>
      </c>
      <c r="U251" s="2">
        <v>44393</v>
      </c>
      <c r="V251" t="s">
        <v>781</v>
      </c>
    </row>
    <row r="252" spans="1:22">
      <c r="A252" s="1" t="s">
        <v>272</v>
      </c>
      <c r="B252">
        <f>HYPERLINK("https://www.suredividend.com/sure-analysis-AAP/","Advance Auto Parts Inc")</f>
        <v>0</v>
      </c>
      <c r="C252">
        <v>215.38</v>
      </c>
      <c r="D252">
        <v>191</v>
      </c>
      <c r="E252">
        <v>1.127643979057592</v>
      </c>
      <c r="F252">
        <v>0.01857182653914012</v>
      </c>
      <c r="G252">
        <v>-0.02373976742356732</v>
      </c>
      <c r="H252">
        <v>0.05</v>
      </c>
      <c r="I252">
        <v>0.04470476315117433</v>
      </c>
      <c r="J252" t="s">
        <v>762</v>
      </c>
      <c r="K252" t="s">
        <v>358</v>
      </c>
      <c r="L252">
        <v>11.25</v>
      </c>
      <c r="M252">
        <v>4</v>
      </c>
      <c r="N252">
        <v>0.3555555555555556</v>
      </c>
      <c r="O252">
        <v>1</v>
      </c>
      <c r="P252">
        <v>0.06498652656427617</v>
      </c>
      <c r="Q252">
        <v>0.4808118354278471</v>
      </c>
      <c r="R252" t="s">
        <v>765</v>
      </c>
      <c r="S252" t="s">
        <v>775</v>
      </c>
      <c r="T252">
        <v>13487.828641</v>
      </c>
      <c r="U252" s="2">
        <v>44432</v>
      </c>
      <c r="V252" t="s">
        <v>784</v>
      </c>
    </row>
    <row r="253" spans="1:22">
      <c r="A253" s="1" t="s">
        <v>273</v>
      </c>
      <c r="B253">
        <f>HYPERLINK("https://www.suredividend.com/sure-analysis-SBSI/","Southside Bancshares Inc")</f>
        <v>0</v>
      </c>
      <c r="C253">
        <v>37.49</v>
      </c>
      <c r="D253">
        <v>34</v>
      </c>
      <c r="E253">
        <v>1.10264705882353</v>
      </c>
      <c r="F253">
        <v>0.03520938917044545</v>
      </c>
      <c r="G253">
        <v>-0.01935301976160964</v>
      </c>
      <c r="H253">
        <v>0.03</v>
      </c>
      <c r="I253">
        <v>0.04461302664506728</v>
      </c>
      <c r="J253" t="s">
        <v>762</v>
      </c>
      <c r="K253" t="s">
        <v>761</v>
      </c>
      <c r="L253">
        <v>2.83</v>
      </c>
      <c r="M253">
        <v>1.32</v>
      </c>
      <c r="N253">
        <v>0.4664310954063604</v>
      </c>
      <c r="O253">
        <v>27</v>
      </c>
      <c r="P253">
        <v>0.02996744995959233</v>
      </c>
      <c r="Q253">
        <v>0.6188946887128031</v>
      </c>
      <c r="R253" t="s">
        <v>765</v>
      </c>
      <c r="S253" t="s">
        <v>773</v>
      </c>
      <c r="T253">
        <v>1208.192672</v>
      </c>
      <c r="U253" s="2">
        <v>44400</v>
      </c>
      <c r="V253" t="s">
        <v>781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177.24</v>
      </c>
      <c r="D254">
        <v>136</v>
      </c>
      <c r="E254">
        <v>1.303235294117647</v>
      </c>
      <c r="F254">
        <v>0.0135973820807944</v>
      </c>
      <c r="G254">
        <v>-0.05159150924802025</v>
      </c>
      <c r="H254">
        <v>0.08500000000000001</v>
      </c>
      <c r="I254">
        <v>0.04438460793170762</v>
      </c>
      <c r="J254" t="s">
        <v>762</v>
      </c>
      <c r="K254" t="s">
        <v>498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0.306487991595218</v>
      </c>
      <c r="R254" t="s">
        <v>765</v>
      </c>
      <c r="S254" t="s">
        <v>776</v>
      </c>
      <c r="T254">
        <v>32275.383888</v>
      </c>
      <c r="U254" s="2">
        <v>44411</v>
      </c>
      <c r="V254" t="s">
        <v>780</v>
      </c>
    </row>
    <row r="255" spans="1:22">
      <c r="A255" s="1" t="s">
        <v>275</v>
      </c>
      <c r="B255">
        <f>HYPERLINK("https://www.suredividend.com/sure-analysis-CAT/","Caterpillar Inc.")</f>
        <v>0</v>
      </c>
      <c r="C255">
        <v>197.22</v>
      </c>
      <c r="D255">
        <v>147</v>
      </c>
      <c r="E255">
        <v>1.341632653061225</v>
      </c>
      <c r="F255">
        <v>0.02251292972315181</v>
      </c>
      <c r="G255">
        <v>-0.05708341189958865</v>
      </c>
      <c r="H255">
        <v>0.08</v>
      </c>
      <c r="I255">
        <v>0.04358485316529825</v>
      </c>
      <c r="J255" t="s">
        <v>762</v>
      </c>
      <c r="K255" t="s">
        <v>762</v>
      </c>
      <c r="L255">
        <v>9.199999999999999</v>
      </c>
      <c r="M255">
        <v>4.44</v>
      </c>
      <c r="N255">
        <v>0.482608695652174</v>
      </c>
      <c r="O255">
        <v>28</v>
      </c>
      <c r="P255">
        <v>0.07987360286076095</v>
      </c>
      <c r="Q255">
        <v>0.3837202101126561</v>
      </c>
      <c r="R255" t="s">
        <v>765</v>
      </c>
      <c r="S255" t="s">
        <v>772</v>
      </c>
      <c r="T255">
        <v>107643.839842</v>
      </c>
      <c r="U255" s="2">
        <v>44415</v>
      </c>
      <c r="V255" t="s">
        <v>784</v>
      </c>
    </row>
    <row r="256" spans="1:22">
      <c r="A256" s="1" t="s">
        <v>276</v>
      </c>
      <c r="B256">
        <f>HYPERLINK("https://www.suredividend.com/sure-analysis-IFF/","International Flavors &amp; Fragrances Inc.")</f>
        <v>0</v>
      </c>
      <c r="C256">
        <v>132.38</v>
      </c>
      <c r="D256">
        <v>119</v>
      </c>
      <c r="E256">
        <v>1.112436974789916</v>
      </c>
      <c r="F256">
        <v>0.02387067532859949</v>
      </c>
      <c r="G256">
        <v>-0.02108514958387087</v>
      </c>
      <c r="H256">
        <v>0.04</v>
      </c>
      <c r="I256">
        <v>0.0416103454157184</v>
      </c>
      <c r="J256" t="s">
        <v>762</v>
      </c>
      <c r="K256" t="s">
        <v>358</v>
      </c>
      <c r="L256">
        <v>5.94</v>
      </c>
      <c r="M256">
        <v>3.16</v>
      </c>
      <c r="N256">
        <v>0.531986531986532</v>
      </c>
      <c r="O256">
        <v>19</v>
      </c>
      <c r="P256">
        <v>0.03482958654183155</v>
      </c>
      <c r="Q256">
        <v>0.16257764179353</v>
      </c>
      <c r="R256" t="s">
        <v>765</v>
      </c>
      <c r="S256" t="s">
        <v>771</v>
      </c>
      <c r="T256">
        <v>33028.471326</v>
      </c>
      <c r="U256" s="2">
        <v>44424</v>
      </c>
      <c r="V256" t="s">
        <v>788</v>
      </c>
    </row>
    <row r="257" spans="1:22">
      <c r="A257" s="1" t="s">
        <v>277</v>
      </c>
      <c r="B257">
        <f>HYPERLINK("https://www.suredividend.com/sure-analysis-GEF/","Greif Inc")</f>
        <v>0</v>
      </c>
      <c r="C257">
        <v>63.895</v>
      </c>
      <c r="D257">
        <v>62</v>
      </c>
      <c r="E257">
        <v>1.030564516129032</v>
      </c>
      <c r="F257">
        <v>0.02879724548086705</v>
      </c>
      <c r="G257">
        <v>-0.00600325323496298</v>
      </c>
      <c r="H257">
        <v>0.02</v>
      </c>
      <c r="I257">
        <v>0.04119661452600121</v>
      </c>
      <c r="J257" t="s">
        <v>762</v>
      </c>
      <c r="K257" t="s">
        <v>762</v>
      </c>
      <c r="L257">
        <v>4.4</v>
      </c>
      <c r="M257">
        <v>1.84</v>
      </c>
      <c r="N257">
        <v>0.4181818181818182</v>
      </c>
      <c r="O257">
        <v>1</v>
      </c>
      <c r="P257">
        <v>0.01884169405651681</v>
      </c>
      <c r="Q257">
        <v>0.912515945118847</v>
      </c>
      <c r="R257" t="s">
        <v>765</v>
      </c>
      <c r="S257" t="s">
        <v>775</v>
      </c>
      <c r="T257">
        <v>3102.101143</v>
      </c>
      <c r="U257" s="2">
        <v>44441</v>
      </c>
      <c r="V257" t="s">
        <v>784</v>
      </c>
    </row>
    <row r="258" spans="1:22">
      <c r="A258" s="1" t="s">
        <v>278</v>
      </c>
      <c r="B258">
        <f>HYPERLINK("https://www.suredividend.com/sure-analysis-PEP/","PepsiCo Inc")</f>
        <v>0</v>
      </c>
      <c r="C258">
        <v>154.18</v>
      </c>
      <c r="D258">
        <v>124</v>
      </c>
      <c r="E258">
        <v>1.243387096774194</v>
      </c>
      <c r="F258">
        <v>0.02788947982877156</v>
      </c>
      <c r="G258">
        <v>-0.04263239313985312</v>
      </c>
      <c r="H258">
        <v>0.055</v>
      </c>
      <c r="I258">
        <v>0.03977626997898653</v>
      </c>
      <c r="J258" t="s">
        <v>762</v>
      </c>
      <c r="K258" t="s">
        <v>762</v>
      </c>
      <c r="L258">
        <v>6.2</v>
      </c>
      <c r="M258">
        <v>4.3</v>
      </c>
      <c r="N258">
        <v>0.6935483870967741</v>
      </c>
      <c r="O258">
        <v>49</v>
      </c>
      <c r="P258">
        <v>0.0550027021888726</v>
      </c>
      <c r="Q258">
        <v>0.211371947697151</v>
      </c>
      <c r="R258" t="s">
        <v>765</v>
      </c>
      <c r="S258" t="s">
        <v>774</v>
      </c>
      <c r="T258">
        <v>213025.378168</v>
      </c>
      <c r="U258" s="2">
        <v>44390</v>
      </c>
      <c r="V258" t="s">
        <v>781</v>
      </c>
    </row>
    <row r="259" spans="1:22">
      <c r="A259" s="1" t="s">
        <v>279</v>
      </c>
      <c r="B259">
        <f>HYPERLINK("https://www.suredividend.com/sure-analysis-MWA/","Mueller Water Products Inc")</f>
        <v>0</v>
      </c>
      <c r="C259">
        <v>15.82</v>
      </c>
      <c r="D259">
        <v>13.86</v>
      </c>
      <c r="E259">
        <v>1.141414141414141</v>
      </c>
      <c r="F259">
        <v>0.01390644753476612</v>
      </c>
      <c r="G259">
        <v>-0.02610676244650367</v>
      </c>
      <c r="H259">
        <v>0.05</v>
      </c>
      <c r="I259">
        <v>0.03660319667918177</v>
      </c>
      <c r="J259" t="s">
        <v>762</v>
      </c>
      <c r="K259" t="s">
        <v>498</v>
      </c>
      <c r="L259">
        <v>0.63</v>
      </c>
      <c r="M259">
        <v>0.22</v>
      </c>
      <c r="N259">
        <v>0.3492063492063492</v>
      </c>
      <c r="O259">
        <v>7</v>
      </c>
      <c r="P259">
        <v>0.04180926810264429</v>
      </c>
      <c r="Q259">
        <v>0.555072192750214</v>
      </c>
      <c r="R259" t="s">
        <v>765</v>
      </c>
      <c r="S259" t="s">
        <v>772</v>
      </c>
      <c r="T259">
        <v>2505.251713</v>
      </c>
      <c r="U259" s="2">
        <v>44413</v>
      </c>
      <c r="V259" t="s">
        <v>780</v>
      </c>
    </row>
    <row r="260" spans="1:22">
      <c r="A260" s="1" t="s">
        <v>280</v>
      </c>
      <c r="B260">
        <f>HYPERLINK("https://www.suredividend.com/sure-analysis-INGR/","Ingredion Inc")</f>
        <v>0</v>
      </c>
      <c r="C260">
        <v>89.47</v>
      </c>
      <c r="D260">
        <v>79</v>
      </c>
      <c r="E260">
        <v>1.13253164556962</v>
      </c>
      <c r="F260">
        <v>0.02906002011847547</v>
      </c>
      <c r="G260">
        <v>-0.02458387505362458</v>
      </c>
      <c r="H260">
        <v>0.03</v>
      </c>
      <c r="I260">
        <v>0.0357975093319185</v>
      </c>
      <c r="J260" t="s">
        <v>762</v>
      </c>
      <c r="K260" t="s">
        <v>762</v>
      </c>
      <c r="L260">
        <v>5.3</v>
      </c>
      <c r="M260">
        <v>2.6</v>
      </c>
      <c r="N260">
        <v>0.4905660377358491</v>
      </c>
      <c r="O260">
        <v>11</v>
      </c>
      <c r="P260">
        <v>0.05010553388446692</v>
      </c>
      <c r="Q260">
        <v>0.214891137217993</v>
      </c>
      <c r="R260" t="s">
        <v>765</v>
      </c>
      <c r="S260" t="s">
        <v>774</v>
      </c>
      <c r="T260">
        <v>5950.720089</v>
      </c>
      <c r="U260" s="2">
        <v>44413</v>
      </c>
      <c r="V260" t="s">
        <v>791</v>
      </c>
    </row>
    <row r="261" spans="1:22">
      <c r="A261" s="1" t="s">
        <v>281</v>
      </c>
      <c r="B261">
        <f>HYPERLINK("https://www.suredividend.com/sure-analysis-XEL/","Xcel Energy, Inc.")</f>
        <v>0</v>
      </c>
      <c r="C261">
        <v>62.83</v>
      </c>
      <c r="D261">
        <v>53</v>
      </c>
      <c r="E261">
        <v>1.185471698113207</v>
      </c>
      <c r="F261">
        <v>0.02912621359223301</v>
      </c>
      <c r="G261">
        <v>-0.03345570452077784</v>
      </c>
      <c r="H261">
        <v>0.04</v>
      </c>
      <c r="I261">
        <v>0.03549513698907014</v>
      </c>
      <c r="J261" t="s">
        <v>762</v>
      </c>
      <c r="K261" t="s">
        <v>762</v>
      </c>
      <c r="L261">
        <v>2.95</v>
      </c>
      <c r="M261">
        <v>1.83</v>
      </c>
      <c r="N261">
        <v>0.6203389830508474</v>
      </c>
      <c r="O261">
        <v>18</v>
      </c>
      <c r="P261">
        <v>0.04032911905890546</v>
      </c>
      <c r="Q261">
        <v>-0.023243390975949</v>
      </c>
      <c r="R261" t="s">
        <v>765</v>
      </c>
      <c r="S261" t="s">
        <v>776</v>
      </c>
      <c r="T261">
        <v>33867.665348</v>
      </c>
      <c r="U261" s="2">
        <v>44411</v>
      </c>
      <c r="V261" t="s">
        <v>784</v>
      </c>
    </row>
    <row r="262" spans="1:22">
      <c r="A262" s="1" t="s">
        <v>282</v>
      </c>
      <c r="B262">
        <f>HYPERLINK("https://www.suredividend.com/sure-analysis-RHHBY/","Roche Holding AG")</f>
        <v>0</v>
      </c>
      <c r="C262">
        <v>46.42</v>
      </c>
      <c r="D262">
        <v>42</v>
      </c>
      <c r="E262">
        <v>1.105238095238095</v>
      </c>
      <c r="F262">
        <v>0.02520465316673847</v>
      </c>
      <c r="G262">
        <v>-0.01981324241832516</v>
      </c>
      <c r="H262">
        <v>0.03</v>
      </c>
      <c r="I262">
        <v>0.03465393440500808</v>
      </c>
      <c r="J262" t="s">
        <v>762</v>
      </c>
      <c r="K262" t="s">
        <v>762</v>
      </c>
      <c r="L262">
        <v>2.3</v>
      </c>
      <c r="M262">
        <v>1.17</v>
      </c>
      <c r="N262">
        <v>0.5086956521739131</v>
      </c>
      <c r="O262">
        <v>34</v>
      </c>
      <c r="P262">
        <v>0.0275046295579735</v>
      </c>
      <c r="Q262">
        <v>0.066908149826817</v>
      </c>
      <c r="R262" t="s">
        <v>765</v>
      </c>
      <c r="S262" t="s">
        <v>770</v>
      </c>
      <c r="T262">
        <v>260903.684272</v>
      </c>
      <c r="U262" s="2">
        <v>44399</v>
      </c>
      <c r="V262" t="s">
        <v>791</v>
      </c>
    </row>
    <row r="263" spans="1:22">
      <c r="A263" s="1" t="s">
        <v>283</v>
      </c>
      <c r="B263">
        <f>HYPERLINK("https://www.suredividend.com/sure-analysis-SBAC/","SBA Communications Corp")</f>
        <v>0</v>
      </c>
      <c r="C263">
        <v>347.15</v>
      </c>
      <c r="D263">
        <v>242</v>
      </c>
      <c r="E263">
        <v>1.434504132231405</v>
      </c>
      <c r="F263">
        <v>0.006682990061932882</v>
      </c>
      <c r="G263">
        <v>-0.06962155677479831</v>
      </c>
      <c r="H263">
        <v>0.1</v>
      </c>
      <c r="I263">
        <v>0.03406878808418545</v>
      </c>
      <c r="J263" t="s">
        <v>762</v>
      </c>
      <c r="K263" t="s">
        <v>498</v>
      </c>
      <c r="L263">
        <v>10.52</v>
      </c>
      <c r="M263">
        <v>2.32</v>
      </c>
      <c r="N263">
        <v>0.220532319391635</v>
      </c>
      <c r="O263">
        <v>2</v>
      </c>
      <c r="P263">
        <v>0.1998793126786198</v>
      </c>
      <c r="Q263">
        <v>0.167841993768647</v>
      </c>
      <c r="R263" t="s">
        <v>765</v>
      </c>
      <c r="S263" t="s">
        <v>777</v>
      </c>
      <c r="T263">
        <v>38743.5783</v>
      </c>
      <c r="U263" s="2">
        <v>44411</v>
      </c>
      <c r="V263" t="s">
        <v>780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349.9</v>
      </c>
      <c r="D264">
        <v>345</v>
      </c>
      <c r="E264">
        <v>1.014202898550725</v>
      </c>
      <c r="F264">
        <v>0.01200342955130037</v>
      </c>
      <c r="G264">
        <v>-0.002816622323602025</v>
      </c>
      <c r="H264">
        <v>0.02</v>
      </c>
      <c r="I264">
        <v>0.0305680284663028</v>
      </c>
      <c r="J264" t="s">
        <v>762</v>
      </c>
      <c r="K264" t="s">
        <v>498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0.656969974666979</v>
      </c>
      <c r="R264" t="s">
        <v>765</v>
      </c>
      <c r="S264" t="s">
        <v>772</v>
      </c>
      <c r="T264">
        <v>108986.609517</v>
      </c>
      <c r="U264" s="2">
        <v>44428</v>
      </c>
      <c r="V264" t="s">
        <v>784</v>
      </c>
    </row>
    <row r="265" spans="1:22">
      <c r="A265" s="1" t="s">
        <v>285</v>
      </c>
      <c r="B265">
        <f>HYPERLINK("https://www.suredividend.com/sure-analysis-RTX/","Raytheon Technologies Corporation")</f>
        <v>0</v>
      </c>
      <c r="C265">
        <v>87.03</v>
      </c>
      <c r="D265">
        <v>62</v>
      </c>
      <c r="E265">
        <v>1.403709677419355</v>
      </c>
      <c r="F265">
        <v>0.02344019303688383</v>
      </c>
      <c r="G265">
        <v>-0.0655748021094763</v>
      </c>
      <c r="H265">
        <v>0.07000000000000001</v>
      </c>
      <c r="I265">
        <v>0.02715848288892952</v>
      </c>
      <c r="J265" t="s">
        <v>762</v>
      </c>
      <c r="K265" t="s">
        <v>762</v>
      </c>
      <c r="L265">
        <v>3.9</v>
      </c>
      <c r="M265">
        <v>2.04</v>
      </c>
      <c r="N265">
        <v>0.5230769230769231</v>
      </c>
      <c r="O265">
        <v>27</v>
      </c>
      <c r="P265">
        <v>0.06990981876632385</v>
      </c>
      <c r="Q265">
        <v>0.5254276032938681</v>
      </c>
      <c r="R265" t="s">
        <v>765</v>
      </c>
      <c r="S265" t="s">
        <v>772</v>
      </c>
      <c r="T265">
        <v>130808.424394</v>
      </c>
      <c r="U265" s="2">
        <v>44405</v>
      </c>
      <c r="V265" t="s">
        <v>784</v>
      </c>
    </row>
    <row r="266" spans="1:22">
      <c r="A266" s="1" t="s">
        <v>286</v>
      </c>
      <c r="B266">
        <f>HYPERLINK("https://www.suredividend.com/sure-analysis-TR/","Tootsie Roll Industries, Inc.")</f>
        <v>0</v>
      </c>
      <c r="C266">
        <v>30.11</v>
      </c>
      <c r="D266">
        <v>28</v>
      </c>
      <c r="E266">
        <v>1.075357142857143</v>
      </c>
      <c r="F266">
        <v>0.01195616074393889</v>
      </c>
      <c r="G266">
        <v>-0.01442550725498171</v>
      </c>
      <c r="H266">
        <v>0.03</v>
      </c>
      <c r="I266">
        <v>0.02615861205522196</v>
      </c>
      <c r="J266" t="s">
        <v>762</v>
      </c>
      <c r="K266" t="s">
        <v>498</v>
      </c>
      <c r="L266">
        <v>0.92</v>
      </c>
      <c r="M266">
        <v>0.36</v>
      </c>
      <c r="N266">
        <v>0.3913043478260869</v>
      </c>
      <c r="O266">
        <v>0</v>
      </c>
      <c r="P266">
        <v>0</v>
      </c>
      <c r="Q266">
        <v>0.08197802355336001</v>
      </c>
      <c r="R266" t="s">
        <v>765</v>
      </c>
      <c r="S266" t="s">
        <v>774</v>
      </c>
      <c r="T266">
        <v>1207.660712</v>
      </c>
      <c r="U266" s="2">
        <v>44430</v>
      </c>
      <c r="V266" t="s">
        <v>788</v>
      </c>
    </row>
    <row r="267" spans="1:22">
      <c r="A267" s="1" t="s">
        <v>287</v>
      </c>
      <c r="B267">
        <f>HYPERLINK("https://www.suredividend.com/sure-analysis-SIEGY/","Siemens AG")</f>
        <v>0</v>
      </c>
      <c r="C267">
        <v>88.29000000000001</v>
      </c>
      <c r="D267">
        <v>69</v>
      </c>
      <c r="E267">
        <v>1.279565217391304</v>
      </c>
      <c r="F267">
        <v>0.02389851625325631</v>
      </c>
      <c r="G267">
        <v>-0.04810835530210378</v>
      </c>
      <c r="H267">
        <v>0.05</v>
      </c>
      <c r="I267">
        <v>0.0251336321926503</v>
      </c>
      <c r="J267" t="s">
        <v>762</v>
      </c>
      <c r="K267" t="s">
        <v>358</v>
      </c>
      <c r="L267">
        <v>4.6</v>
      </c>
      <c r="M267">
        <v>2.11</v>
      </c>
      <c r="N267">
        <v>0.4586956521739131</v>
      </c>
      <c r="O267">
        <v>0</v>
      </c>
      <c r="P267">
        <v>0.04023181804828235</v>
      </c>
      <c r="Q267">
        <v>0.360400616332819</v>
      </c>
      <c r="R267" t="s">
        <v>765</v>
      </c>
      <c r="S267" t="s">
        <v>772</v>
      </c>
      <c r="T267">
        <v>150093</v>
      </c>
      <c r="U267" s="2">
        <v>44433</v>
      </c>
      <c r="V267" t="s">
        <v>783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174.285</v>
      </c>
      <c r="D268">
        <v>137</v>
      </c>
      <c r="E268">
        <v>1.272153284671533</v>
      </c>
      <c r="F268">
        <v>0.02065582235992771</v>
      </c>
      <c r="G268">
        <v>-0.04700173213980263</v>
      </c>
      <c r="H268">
        <v>0.05</v>
      </c>
      <c r="I268">
        <v>0.02347448688894027</v>
      </c>
      <c r="J268" t="s">
        <v>762</v>
      </c>
      <c r="K268" t="s">
        <v>358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0.314835833549851</v>
      </c>
      <c r="R268" t="s">
        <v>765</v>
      </c>
      <c r="S268" t="s">
        <v>774</v>
      </c>
      <c r="T268">
        <v>36023.13594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HYPERLINK("https://www.suredividend.com/sure-analysis-AJG/","Arthur J. Gallagher &amp; Co.")</f>
        <v>0</v>
      </c>
      <c r="C269">
        <v>152.985</v>
      </c>
      <c r="D269">
        <v>123</v>
      </c>
      <c r="E269">
        <v>1.243780487804878</v>
      </c>
      <c r="F269">
        <v>0.01255025002451221</v>
      </c>
      <c r="G269">
        <v>-0.04269296130123812</v>
      </c>
      <c r="H269">
        <v>0.05</v>
      </c>
      <c r="I269">
        <v>0.0190479664735792</v>
      </c>
      <c r="J269" t="s">
        <v>762</v>
      </c>
      <c r="K269" t="s">
        <v>498</v>
      </c>
      <c r="L269">
        <v>5.35</v>
      </c>
      <c r="M269">
        <v>1.92</v>
      </c>
      <c r="N269">
        <v>0.3588785046728972</v>
      </c>
      <c r="O269">
        <v>11</v>
      </c>
      <c r="P269">
        <v>0.04996052445273014</v>
      </c>
      <c r="Q269">
        <v>0.5091025864666421</v>
      </c>
      <c r="R269" t="s">
        <v>765</v>
      </c>
      <c r="S269" t="s">
        <v>773</v>
      </c>
      <c r="T269">
        <v>31479.755</v>
      </c>
      <c r="U269" s="2">
        <v>44413</v>
      </c>
      <c r="V269" t="s">
        <v>785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284.01</v>
      </c>
      <c r="D270">
        <v>209</v>
      </c>
      <c r="E270">
        <v>1.3588995215311</v>
      </c>
      <c r="F270">
        <v>0.01788669413048836</v>
      </c>
      <c r="G270">
        <v>-0.05949192024995953</v>
      </c>
      <c r="H270">
        <v>0.06</v>
      </c>
      <c r="I270">
        <v>0.01808075737161663</v>
      </c>
      <c r="J270" t="s">
        <v>762</v>
      </c>
      <c r="K270" t="s">
        <v>498</v>
      </c>
      <c r="L270">
        <v>9.5</v>
      </c>
      <c r="M270">
        <v>5.08</v>
      </c>
      <c r="N270">
        <v>0.5347368421052632</v>
      </c>
      <c r="O270">
        <v>10</v>
      </c>
      <c r="P270">
        <v>0.06652456067072565</v>
      </c>
      <c r="Q270">
        <v>0.246981590135336</v>
      </c>
      <c r="R270" t="s">
        <v>767</v>
      </c>
      <c r="S270" t="s">
        <v>779</v>
      </c>
      <c r="T270">
        <v>131080.688352</v>
      </c>
      <c r="U270" s="2">
        <v>44413</v>
      </c>
      <c r="V270" t="s">
        <v>784</v>
      </c>
    </row>
    <row r="271" spans="1:22">
      <c r="A271" s="1" t="s">
        <v>291</v>
      </c>
      <c r="B271">
        <f>HYPERLINK("https://www.suredividend.com/sure-analysis-SBUX/","Starbucks Corp.")</f>
        <v>0</v>
      </c>
      <c r="C271">
        <v>114.67</v>
      </c>
      <c r="D271">
        <v>74</v>
      </c>
      <c r="E271">
        <v>1.549594594594595</v>
      </c>
      <c r="F271">
        <v>0.01569721810412488</v>
      </c>
      <c r="G271">
        <v>-0.08387152626094996</v>
      </c>
      <c r="H271">
        <v>0.09</v>
      </c>
      <c r="I271">
        <v>0.01780705042764064</v>
      </c>
      <c r="J271" t="s">
        <v>762</v>
      </c>
      <c r="K271" t="s">
        <v>498</v>
      </c>
      <c r="L271">
        <v>3.22</v>
      </c>
      <c r="M271">
        <v>1.8</v>
      </c>
      <c r="N271">
        <v>0.5590062111801242</v>
      </c>
      <c r="O271">
        <v>11</v>
      </c>
      <c r="P271">
        <v>0.0796084730466029</v>
      </c>
      <c r="Q271">
        <v>0.398644243918458</v>
      </c>
      <c r="R271" t="s">
        <v>765</v>
      </c>
      <c r="S271" t="s">
        <v>775</v>
      </c>
      <c r="T271">
        <v>134582.474</v>
      </c>
      <c r="U271" s="2">
        <v>44406</v>
      </c>
      <c r="V271" t="s">
        <v>784</v>
      </c>
    </row>
    <row r="272" spans="1:22">
      <c r="A272" s="1" t="s">
        <v>292</v>
      </c>
      <c r="B272">
        <f>HYPERLINK("https://www.suredividend.com/sure-analysis-NVO/","Novo Nordisk")</f>
        <v>0</v>
      </c>
      <c r="C272">
        <v>101.27</v>
      </c>
      <c r="D272">
        <v>75</v>
      </c>
      <c r="E272">
        <v>1.350266666666667</v>
      </c>
      <c r="F272">
        <v>0.01560185642342254</v>
      </c>
      <c r="G272">
        <v>-0.05829236682709593</v>
      </c>
      <c r="H272">
        <v>0.06</v>
      </c>
      <c r="I272">
        <v>0.01686038062108453</v>
      </c>
      <c r="J272" t="s">
        <v>762</v>
      </c>
      <c r="K272" t="s">
        <v>498</v>
      </c>
      <c r="L272">
        <v>3.4</v>
      </c>
      <c r="M272">
        <v>1.58</v>
      </c>
      <c r="N272">
        <v>0.4647058823529412</v>
      </c>
      <c r="O272">
        <v>0</v>
      </c>
      <c r="P272">
        <v>0.0703829372933884</v>
      </c>
      <c r="Q272">
        <v>0.5003166682095971</v>
      </c>
      <c r="R272" t="s">
        <v>765</v>
      </c>
      <c r="S272" t="s">
        <v>770</v>
      </c>
      <c r="T272">
        <v>180978.7844</v>
      </c>
      <c r="U272" s="2">
        <v>44426</v>
      </c>
      <c r="V272" t="s">
        <v>788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220.405</v>
      </c>
      <c r="D273">
        <v>137</v>
      </c>
      <c r="E273">
        <v>1.608795620437956</v>
      </c>
      <c r="F273">
        <v>0.01687802000862049</v>
      </c>
      <c r="G273">
        <v>-0.09071542268243193</v>
      </c>
      <c r="H273">
        <v>0.09</v>
      </c>
      <c r="I273">
        <v>0.01294803407261758</v>
      </c>
      <c r="J273" t="s">
        <v>762</v>
      </c>
      <c r="K273" t="s">
        <v>358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0.407744968128705</v>
      </c>
      <c r="R273" t="s">
        <v>765</v>
      </c>
      <c r="S273" t="s">
        <v>772</v>
      </c>
      <c r="T273">
        <v>151680.718521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115.84</v>
      </c>
      <c r="D274">
        <v>79</v>
      </c>
      <c r="E274">
        <v>1.466329113924051</v>
      </c>
      <c r="F274">
        <v>0.01761049723756906</v>
      </c>
      <c r="G274">
        <v>-0.07369563944352941</v>
      </c>
      <c r="H274">
        <v>0.07000000000000001</v>
      </c>
      <c r="I274">
        <v>0.01264404591175405</v>
      </c>
      <c r="J274" t="s">
        <v>762</v>
      </c>
      <c r="K274" t="s">
        <v>358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0.123702955262461</v>
      </c>
      <c r="R274" t="s">
        <v>765</v>
      </c>
      <c r="S274" t="s">
        <v>772</v>
      </c>
      <c r="T274">
        <v>82476.56229099999</v>
      </c>
      <c r="U274" s="2">
        <v>44401</v>
      </c>
      <c r="V274" t="s">
        <v>781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184.01</v>
      </c>
      <c r="D275">
        <v>129</v>
      </c>
      <c r="E275">
        <v>1.426434108527132</v>
      </c>
      <c r="F275">
        <v>0.02249877724036737</v>
      </c>
      <c r="G275">
        <v>-0.06857121136465461</v>
      </c>
      <c r="H275">
        <v>0.055</v>
      </c>
      <c r="I275">
        <v>0.009174218383410926</v>
      </c>
      <c r="J275" t="s">
        <v>762</v>
      </c>
      <c r="K275" t="s">
        <v>358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-0.07914269574470401</v>
      </c>
      <c r="R275" t="s">
        <v>765</v>
      </c>
      <c r="S275" t="s">
        <v>773</v>
      </c>
      <c r="T275">
        <v>8417.957643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65.89</v>
      </c>
      <c r="D276">
        <v>42</v>
      </c>
      <c r="E276">
        <v>1.568809523809524</v>
      </c>
      <c r="F276">
        <v>0.02064046137501897</v>
      </c>
      <c r="G276">
        <v>-0.08612676830969013</v>
      </c>
      <c r="H276">
        <v>0.076</v>
      </c>
      <c r="I276">
        <v>0.008398850158305882</v>
      </c>
      <c r="J276" t="s">
        <v>762</v>
      </c>
      <c r="K276" t="s">
        <v>762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0.147808934334246</v>
      </c>
      <c r="R276" t="s">
        <v>765</v>
      </c>
      <c r="S276" t="s">
        <v>776</v>
      </c>
      <c r="T276">
        <v>1962.259857</v>
      </c>
      <c r="U276" s="2">
        <v>44417</v>
      </c>
      <c r="V276" t="s">
        <v>781</v>
      </c>
    </row>
    <row r="277" spans="1:22">
      <c r="A277" s="1" t="s">
        <v>297</v>
      </c>
      <c r="B277">
        <f>HYPERLINK("https://www.suredividend.com/sure-analysis-CARR/","Carrier Global Corp")</f>
        <v>0</v>
      </c>
      <c r="C277">
        <v>53.17</v>
      </c>
      <c r="D277">
        <v>39</v>
      </c>
      <c r="E277">
        <v>1.363333333333333</v>
      </c>
      <c r="F277">
        <v>0.009027647169456459</v>
      </c>
      <c r="G277">
        <v>-0.06010445880118431</v>
      </c>
      <c r="H277">
        <v>0.06</v>
      </c>
      <c r="I277">
        <v>0.008176340157687756</v>
      </c>
      <c r="J277" t="s">
        <v>762</v>
      </c>
      <c r="K277" t="s">
        <v>498</v>
      </c>
      <c r="L277">
        <v>2.88</v>
      </c>
      <c r="M277">
        <v>0.48</v>
      </c>
      <c r="N277">
        <v>0.1666666666666667</v>
      </c>
      <c r="O277">
        <v>1</v>
      </c>
      <c r="P277">
        <v>0.09626227935295417</v>
      </c>
      <c r="Q277">
        <v>0.857562561206842</v>
      </c>
      <c r="R277" t="s">
        <v>765</v>
      </c>
      <c r="S277" t="s">
        <v>772</v>
      </c>
      <c r="T277">
        <v>46413.347672</v>
      </c>
      <c r="U277" s="2">
        <v>44411</v>
      </c>
      <c r="V277" t="s">
        <v>784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47.11</v>
      </c>
      <c r="D278">
        <v>30</v>
      </c>
      <c r="E278">
        <v>1.570333333333333</v>
      </c>
      <c r="F278">
        <v>0.02207599235831034</v>
      </c>
      <c r="G278">
        <v>-0.08630419682680235</v>
      </c>
      <c r="H278">
        <v>0.07000000000000001</v>
      </c>
      <c r="I278">
        <v>0.004943450469124366</v>
      </c>
      <c r="J278" t="s">
        <v>762</v>
      </c>
      <c r="K278" t="s">
        <v>358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0.249157945546261</v>
      </c>
      <c r="R278" t="s">
        <v>765</v>
      </c>
      <c r="S278" t="s">
        <v>776</v>
      </c>
      <c r="T278">
        <v>11575.173493</v>
      </c>
      <c r="U278" s="2">
        <v>44431</v>
      </c>
      <c r="V278" t="s">
        <v>787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119.56</v>
      </c>
      <c r="D279">
        <v>73.5</v>
      </c>
      <c r="E279">
        <v>1.626666666666667</v>
      </c>
      <c r="F279">
        <v>0.03579792572766811</v>
      </c>
      <c r="G279">
        <v>-0.09272219540112259</v>
      </c>
      <c r="H279">
        <v>0.063</v>
      </c>
      <c r="I279">
        <v>0.003743943173655673</v>
      </c>
      <c r="J279" t="s">
        <v>762</v>
      </c>
      <c r="K279" t="s">
        <v>762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0.740387150913681</v>
      </c>
      <c r="R279" t="s">
        <v>767</v>
      </c>
      <c r="S279" t="s">
        <v>779</v>
      </c>
      <c r="T279">
        <v>9290.182004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261.075</v>
      </c>
      <c r="D280">
        <v>171</v>
      </c>
      <c r="E280">
        <v>1.526754385964912</v>
      </c>
      <c r="F280">
        <v>0.02298190175237001</v>
      </c>
      <c r="G280">
        <v>-0.08114673103083925</v>
      </c>
      <c r="H280">
        <v>0.06</v>
      </c>
      <c r="I280">
        <v>0.003570480429111678</v>
      </c>
      <c r="J280" t="s">
        <v>762</v>
      </c>
      <c r="K280" t="s">
        <v>358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-0.069167093818205</v>
      </c>
      <c r="R280" t="s">
        <v>765</v>
      </c>
      <c r="S280" t="s">
        <v>771</v>
      </c>
      <c r="T280">
        <v>57645.571111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HYPERLINK("https://www.suredividend.com/sure-analysis-CFR/","Cullen Frost Bankers Inc.")</f>
        <v>0</v>
      </c>
      <c r="C281">
        <v>117.765</v>
      </c>
      <c r="D281">
        <v>83</v>
      </c>
      <c r="E281">
        <v>1.418855421686747</v>
      </c>
      <c r="F281">
        <v>0.02547446185199338</v>
      </c>
      <c r="G281">
        <v>-0.06757830213176408</v>
      </c>
      <c r="H281">
        <v>0.04</v>
      </c>
      <c r="I281">
        <v>0.0001973237032315556</v>
      </c>
      <c r="J281" t="s">
        <v>762</v>
      </c>
      <c r="K281" t="s">
        <v>762</v>
      </c>
      <c r="L281">
        <v>6.4</v>
      </c>
      <c r="M281">
        <v>3</v>
      </c>
      <c r="N281">
        <v>0.46875</v>
      </c>
      <c r="O281">
        <v>28</v>
      </c>
      <c r="P281">
        <v>0.04000235313991807</v>
      </c>
      <c r="Q281">
        <v>0.896938452346359</v>
      </c>
      <c r="R281" t="s">
        <v>765</v>
      </c>
      <c r="S281" t="s">
        <v>773</v>
      </c>
      <c r="T281">
        <v>7383.963395</v>
      </c>
      <c r="U281" s="2">
        <v>44413</v>
      </c>
      <c r="V281" t="s">
        <v>784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279.14</v>
      </c>
      <c r="D282">
        <v>148</v>
      </c>
      <c r="E282">
        <v>1.886081081081081</v>
      </c>
      <c r="F282">
        <v>0.006018485347854124</v>
      </c>
      <c r="G282">
        <v>-0.1191784565044263</v>
      </c>
      <c r="H282">
        <v>0.12</v>
      </c>
      <c r="I282">
        <v>-0.005080854945337276</v>
      </c>
      <c r="J282" t="s">
        <v>762</v>
      </c>
      <c r="K282" t="s">
        <v>498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0.6882058446850621</v>
      </c>
      <c r="R282" t="s">
        <v>765</v>
      </c>
      <c r="S282" t="s">
        <v>770</v>
      </c>
      <c r="T282">
        <v>41191.355342</v>
      </c>
      <c r="U282" s="2">
        <v>44417</v>
      </c>
      <c r="V282" t="s">
        <v>783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81.18000000000001</v>
      </c>
      <c r="D283">
        <v>49</v>
      </c>
      <c r="E283">
        <v>1.656734693877551</v>
      </c>
      <c r="F283">
        <v>0.01897018970189702</v>
      </c>
      <c r="G283">
        <v>-0.09603959801205486</v>
      </c>
      <c r="H283">
        <v>0.07000000000000001</v>
      </c>
      <c r="I283">
        <v>-0.006755239837293425</v>
      </c>
      <c r="J283" t="s">
        <v>762</v>
      </c>
      <c r="K283" t="s">
        <v>358</v>
      </c>
      <c r="L283">
        <v>2.47</v>
      </c>
      <c r="M283">
        <v>1.54</v>
      </c>
      <c r="N283">
        <v>0.6234817813765182</v>
      </c>
      <c r="O283">
        <v>25</v>
      </c>
      <c r="P283">
        <v>0.07973590558946508</v>
      </c>
      <c r="Q283">
        <v>0.206763936363879</v>
      </c>
      <c r="R283" t="s">
        <v>765</v>
      </c>
      <c r="S283" t="s">
        <v>776</v>
      </c>
      <c r="T283">
        <v>159213.614999</v>
      </c>
      <c r="U283" s="2">
        <v>44401</v>
      </c>
      <c r="V283" t="s">
        <v>789</v>
      </c>
    </row>
    <row r="284" spans="1:22">
      <c r="A284" s="1" t="s">
        <v>304</v>
      </c>
      <c r="B284">
        <f>HYPERLINK("https://www.suredividend.com/sure-analysis-ESS/","Essex Property Trust, Inc.")</f>
        <v>0</v>
      </c>
      <c r="C284">
        <v>331.37</v>
      </c>
      <c r="D284">
        <v>221</v>
      </c>
      <c r="E284">
        <v>1.499411764705882</v>
      </c>
      <c r="F284">
        <v>0.02522859643299031</v>
      </c>
      <c r="G284">
        <v>-0.07781974930725544</v>
      </c>
      <c r="H284">
        <v>0.041</v>
      </c>
      <c r="I284">
        <v>-0.01078851975502271</v>
      </c>
      <c r="J284" t="s">
        <v>762</v>
      </c>
      <c r="K284" t="s">
        <v>358</v>
      </c>
      <c r="L284">
        <v>12.27</v>
      </c>
      <c r="M284">
        <v>8.359999999999999</v>
      </c>
      <c r="N284">
        <v>0.6813365933170334</v>
      </c>
      <c r="O284">
        <v>26</v>
      </c>
      <c r="P284">
        <v>0.01486259611873031</v>
      </c>
      <c r="Q284">
        <v>0.6940067790987511</v>
      </c>
      <c r="R284" t="s">
        <v>767</v>
      </c>
      <c r="S284" t="s">
        <v>779</v>
      </c>
      <c r="T284">
        <v>21520.01896</v>
      </c>
      <c r="U284" s="2">
        <v>44411</v>
      </c>
      <c r="V284" t="s">
        <v>790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186.34</v>
      </c>
      <c r="D285">
        <v>121</v>
      </c>
      <c r="E285">
        <v>1.54</v>
      </c>
      <c r="F285">
        <v>0.01266502092948374</v>
      </c>
      <c r="G285">
        <v>-0.0827328174886276</v>
      </c>
      <c r="H285">
        <v>0.06</v>
      </c>
      <c r="I285">
        <v>-0.01131688571071243</v>
      </c>
      <c r="J285" t="s">
        <v>762</v>
      </c>
      <c r="K285" t="s">
        <v>498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0.5880127184381511</v>
      </c>
      <c r="R285" t="s">
        <v>765</v>
      </c>
      <c r="S285" t="s">
        <v>772</v>
      </c>
      <c r="T285">
        <v>44216.603541</v>
      </c>
      <c r="U285" s="2">
        <v>44417</v>
      </c>
      <c r="V285" t="s">
        <v>784</v>
      </c>
    </row>
    <row r="286" spans="1:22">
      <c r="A286" s="1" t="s">
        <v>306</v>
      </c>
      <c r="B286">
        <f>HYPERLINK("https://www.suredividend.com/sure-analysis-UMBF/","UMB Financial Corp.")</f>
        <v>0</v>
      </c>
      <c r="C286">
        <v>94.8</v>
      </c>
      <c r="D286">
        <v>94</v>
      </c>
      <c r="E286">
        <v>1.008510638297872</v>
      </c>
      <c r="F286">
        <v>0.01561181434599156</v>
      </c>
      <c r="G286">
        <v>-0.001693489823320404</v>
      </c>
      <c r="H286">
        <v>-0.03</v>
      </c>
      <c r="I286">
        <v>-0.01293235188120567</v>
      </c>
      <c r="J286" t="s">
        <v>762</v>
      </c>
      <c r="K286" t="s">
        <v>498</v>
      </c>
      <c r="L286">
        <v>7.2</v>
      </c>
      <c r="M286">
        <v>1.48</v>
      </c>
      <c r="N286">
        <v>0.2055555555555555</v>
      </c>
      <c r="O286">
        <v>30</v>
      </c>
      <c r="P286">
        <v>0.03051269507716325</v>
      </c>
      <c r="Q286">
        <v>1.063949390286882</v>
      </c>
      <c r="R286" t="s">
        <v>765</v>
      </c>
      <c r="S286" t="s">
        <v>773</v>
      </c>
      <c r="T286">
        <v>4530.163936</v>
      </c>
      <c r="U286" s="2">
        <v>44407</v>
      </c>
      <c r="V286" t="s">
        <v>785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85.16</v>
      </c>
      <c r="D287">
        <v>52</v>
      </c>
      <c r="E287">
        <v>1.637692307692308</v>
      </c>
      <c r="F287">
        <v>0.01127289807421324</v>
      </c>
      <c r="G287">
        <v>-0.09394713458045101</v>
      </c>
      <c r="H287">
        <v>0.07000000000000001</v>
      </c>
      <c r="I287">
        <v>-0.01527994734373639</v>
      </c>
      <c r="J287" t="s">
        <v>762</v>
      </c>
      <c r="K287" t="s">
        <v>498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0.436192932939136</v>
      </c>
      <c r="R287" t="s">
        <v>765</v>
      </c>
      <c r="S287" t="s">
        <v>772</v>
      </c>
      <c r="T287">
        <v>36592.002823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305.355</v>
      </c>
      <c r="D288">
        <v>184</v>
      </c>
      <c r="E288">
        <v>1.659538043478261</v>
      </c>
      <c r="F288">
        <v>0.01401647263021729</v>
      </c>
      <c r="G288">
        <v>-0.09634520487259646</v>
      </c>
      <c r="H288">
        <v>0.065</v>
      </c>
      <c r="I288">
        <v>-0.01829653338312043</v>
      </c>
      <c r="J288" t="s">
        <v>762</v>
      </c>
      <c r="K288" t="s">
        <v>498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0.452984960901017</v>
      </c>
      <c r="R288" t="s">
        <v>765</v>
      </c>
      <c r="S288" t="s">
        <v>772</v>
      </c>
      <c r="T288">
        <v>35289.223346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HYPERLINK("https://www.suredividend.com/sure-analysis-WM/","Waste Management, Inc.")</f>
        <v>0</v>
      </c>
      <c r="C289">
        <v>153.74</v>
      </c>
      <c r="D289">
        <v>99</v>
      </c>
      <c r="E289">
        <v>1.552929292929293</v>
      </c>
      <c r="F289">
        <v>0.0149603226226096</v>
      </c>
      <c r="G289">
        <v>-0.08426531618816058</v>
      </c>
      <c r="H289">
        <v>0.05</v>
      </c>
      <c r="I289">
        <v>-0.01895809459587827</v>
      </c>
      <c r="J289" t="s">
        <v>762</v>
      </c>
      <c r="K289" t="s">
        <v>498</v>
      </c>
      <c r="L289">
        <v>4.9</v>
      </c>
      <c r="M289">
        <v>2.3</v>
      </c>
      <c r="N289">
        <v>0.4693877551020407</v>
      </c>
      <c r="O289">
        <v>18</v>
      </c>
      <c r="P289">
        <v>0.05032547432346712</v>
      </c>
      <c r="Q289">
        <v>0.3976526719294891</v>
      </c>
      <c r="R289" t="s">
        <v>765</v>
      </c>
      <c r="S289" t="s">
        <v>772</v>
      </c>
      <c r="T289">
        <v>64638.692663</v>
      </c>
      <c r="U289" s="2">
        <v>44406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67.02</v>
      </c>
      <c r="D290">
        <v>54</v>
      </c>
      <c r="E290">
        <v>1.241111111111111</v>
      </c>
      <c r="F290">
        <v>0.02566398090122352</v>
      </c>
      <c r="G290">
        <v>-0.04228152070755964</v>
      </c>
      <c r="H290">
        <v>-0.02</v>
      </c>
      <c r="I290">
        <v>-0.02957048800749917</v>
      </c>
      <c r="J290" t="s">
        <v>762</v>
      </c>
      <c r="K290" t="s">
        <v>762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0.298333642460391</v>
      </c>
      <c r="R290" t="s">
        <v>765</v>
      </c>
      <c r="S290" t="s">
        <v>773</v>
      </c>
      <c r="T290">
        <v>3585.551123</v>
      </c>
      <c r="U290" s="2">
        <v>44404</v>
      </c>
      <c r="V290" t="s">
        <v>785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210.765</v>
      </c>
      <c r="D291">
        <v>151</v>
      </c>
      <c r="E291">
        <v>1.395794701986755</v>
      </c>
      <c r="F291">
        <v>0.009868811235262023</v>
      </c>
      <c r="G291">
        <v>-0.06451744982568508</v>
      </c>
      <c r="H291">
        <v>0.019</v>
      </c>
      <c r="I291">
        <v>-0.0322235700207234</v>
      </c>
      <c r="J291" t="s">
        <v>762</v>
      </c>
      <c r="K291" t="s">
        <v>498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0.51903255028438</v>
      </c>
      <c r="R291" t="s">
        <v>765</v>
      </c>
      <c r="S291" t="s">
        <v>775</v>
      </c>
      <c r="T291">
        <v>24023.630088</v>
      </c>
      <c r="U291" s="2">
        <v>44415</v>
      </c>
      <c r="V291" t="s">
        <v>790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72.91</v>
      </c>
      <c r="D292">
        <v>46.2</v>
      </c>
      <c r="E292">
        <v>1.578138528138528</v>
      </c>
      <c r="F292">
        <v>0.009875188588670964</v>
      </c>
      <c r="G292">
        <v>-0.08720978581332839</v>
      </c>
      <c r="H292">
        <v>0.043</v>
      </c>
      <c r="I292">
        <v>-0.03343206690092748</v>
      </c>
      <c r="J292" t="s">
        <v>762</v>
      </c>
      <c r="K292" t="s">
        <v>498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0.467452928118562</v>
      </c>
      <c r="R292" t="s">
        <v>765</v>
      </c>
      <c r="S292" t="s">
        <v>775</v>
      </c>
      <c r="T292">
        <v>47785.602226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234.73</v>
      </c>
      <c r="D293">
        <v>138</v>
      </c>
      <c r="E293">
        <v>1.700942028985507</v>
      </c>
      <c r="F293">
        <v>0.01448472713330209</v>
      </c>
      <c r="G293">
        <v>-0.1007879925551459</v>
      </c>
      <c r="H293">
        <v>0.04</v>
      </c>
      <c r="I293">
        <v>-0.04438623429040722</v>
      </c>
      <c r="J293" t="s">
        <v>762</v>
      </c>
      <c r="K293" t="s">
        <v>498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0.57628498320046</v>
      </c>
      <c r="R293" t="s">
        <v>765</v>
      </c>
      <c r="S293" t="s">
        <v>770</v>
      </c>
      <c r="T293">
        <v>222666.528052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135.55</v>
      </c>
      <c r="D294">
        <v>58</v>
      </c>
      <c r="E294">
        <v>2.337068965517242</v>
      </c>
      <c r="F294">
        <v>0.008262633714496495</v>
      </c>
      <c r="G294">
        <v>-0.1561491458377269</v>
      </c>
      <c r="H294">
        <v>0.09</v>
      </c>
      <c r="I294">
        <v>-0.06542131056760381</v>
      </c>
      <c r="J294" t="s">
        <v>762</v>
      </c>
      <c r="K294" t="s">
        <v>498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0.6565742725448881</v>
      </c>
      <c r="R294" t="s">
        <v>765</v>
      </c>
      <c r="S294" t="s">
        <v>772</v>
      </c>
      <c r="T294">
        <v>24352.631899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4.68</v>
      </c>
      <c r="D295">
        <v>12</v>
      </c>
      <c r="E295">
        <v>0.39</v>
      </c>
      <c r="F295">
        <v>0.008547008547008548</v>
      </c>
      <c r="G295">
        <v>0.2072218257699245</v>
      </c>
      <c r="H295">
        <v>0</v>
      </c>
      <c r="I295">
        <v>0.2534428627477625</v>
      </c>
      <c r="J295" t="s">
        <v>358</v>
      </c>
      <c r="K295" t="s">
        <v>498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-0.512287414072189</v>
      </c>
      <c r="R295" t="s">
        <v>766</v>
      </c>
      <c r="S295" t="s">
        <v>778</v>
      </c>
      <c r="T295">
        <v>154.795235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14.635</v>
      </c>
      <c r="D296">
        <v>36</v>
      </c>
      <c r="E296">
        <v>0.4065277777777778</v>
      </c>
      <c r="F296">
        <v>0.08199521694567817</v>
      </c>
      <c r="G296">
        <v>0.1972420304383595</v>
      </c>
      <c r="H296">
        <v>0.01</v>
      </c>
      <c r="I296">
        <v>0.2485002938076109</v>
      </c>
      <c r="J296" t="s">
        <v>358</v>
      </c>
      <c r="K296" t="s">
        <v>761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0.629275359442752</v>
      </c>
      <c r="R296" t="s">
        <v>765</v>
      </c>
      <c r="S296" t="s">
        <v>771</v>
      </c>
      <c r="T296">
        <v>86771.075723</v>
      </c>
      <c r="U296" s="2">
        <v>44406</v>
      </c>
      <c r="V296" t="s">
        <v>783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5.35</v>
      </c>
      <c r="D297">
        <v>9.17</v>
      </c>
      <c r="E297">
        <v>0.5834242093784078</v>
      </c>
      <c r="F297">
        <v>0.03364485981308411</v>
      </c>
      <c r="G297">
        <v>0.11378947786823</v>
      </c>
      <c r="H297">
        <v>0.04</v>
      </c>
      <c r="I297">
        <v>0.1787245414499514</v>
      </c>
      <c r="J297" t="s">
        <v>358</v>
      </c>
      <c r="K297" t="s">
        <v>358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0.646356474643032</v>
      </c>
      <c r="R297" t="s">
        <v>765</v>
      </c>
      <c r="S297" t="s">
        <v>777</v>
      </c>
      <c r="T297">
        <v>1795.402225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49.575</v>
      </c>
      <c r="D298">
        <v>86</v>
      </c>
      <c r="E298">
        <v>0.5764534883720931</v>
      </c>
      <c r="F298">
        <v>0.02420574886535552</v>
      </c>
      <c r="G298">
        <v>0.1164702256547903</v>
      </c>
      <c r="H298">
        <v>0.03</v>
      </c>
      <c r="I298">
        <v>0.1706500454170565</v>
      </c>
      <c r="J298" t="s">
        <v>358</v>
      </c>
      <c r="K298" t="s">
        <v>498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0.5910155855212991</v>
      </c>
      <c r="R298" t="s">
        <v>765</v>
      </c>
      <c r="S298" t="s">
        <v>775</v>
      </c>
      <c r="T298">
        <v>5392.808924</v>
      </c>
      <c r="U298" s="2">
        <v>44437</v>
      </c>
      <c r="V298" t="s">
        <v>785</v>
      </c>
    </row>
    <row r="299" spans="1:22">
      <c r="A299" s="1" t="s">
        <v>319</v>
      </c>
      <c r="B299">
        <f>HYPERLINK("https://www.suredividend.com/sure-analysis-TRTN/","Triton International Ltd")</f>
        <v>0</v>
      </c>
      <c r="C299">
        <v>51.415</v>
      </c>
      <c r="D299">
        <v>75</v>
      </c>
      <c r="E299">
        <v>0.6855333333333333</v>
      </c>
      <c r="F299">
        <v>0.04434503549547797</v>
      </c>
      <c r="G299">
        <v>0.07843577090031717</v>
      </c>
      <c r="H299">
        <v>0.05</v>
      </c>
      <c r="I299">
        <v>0.1637727354119021</v>
      </c>
      <c r="J299" t="s">
        <v>358</v>
      </c>
      <c r="K299" t="s">
        <v>762</v>
      </c>
      <c r="L299">
        <v>8.300000000000001</v>
      </c>
      <c r="M299">
        <v>2.28</v>
      </c>
      <c r="N299">
        <v>0.2746987951807228</v>
      </c>
      <c r="O299">
        <v>5</v>
      </c>
      <c r="P299">
        <v>0.07014598459437504</v>
      </c>
      <c r="Q299">
        <v>0.379713707384257</v>
      </c>
      <c r="R299" t="s">
        <v>765</v>
      </c>
      <c r="S299" t="s">
        <v>772</v>
      </c>
      <c r="T299">
        <v>3449.877155</v>
      </c>
      <c r="U299" s="2">
        <v>44404</v>
      </c>
      <c r="V299" t="s">
        <v>780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49.24</v>
      </c>
      <c r="D300">
        <v>64</v>
      </c>
      <c r="E300">
        <v>0.769375</v>
      </c>
      <c r="F300">
        <v>0.03249390739236394</v>
      </c>
      <c r="G300">
        <v>0.05383443623400064</v>
      </c>
      <c r="H300">
        <v>0.08</v>
      </c>
      <c r="I300">
        <v>0.1616801399033254</v>
      </c>
      <c r="J300" t="s">
        <v>358</v>
      </c>
      <c r="K300" t="s">
        <v>358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0.25527705830767</v>
      </c>
      <c r="R300" t="s">
        <v>765</v>
      </c>
      <c r="S300" t="s">
        <v>773</v>
      </c>
      <c r="T300">
        <v>3477.341159</v>
      </c>
      <c r="U300" s="2">
        <v>44407</v>
      </c>
      <c r="V300" t="s">
        <v>780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145.9</v>
      </c>
      <c r="D301">
        <v>210</v>
      </c>
      <c r="E301">
        <v>0.6947619047619048</v>
      </c>
      <c r="F301">
        <v>0.01809458533241947</v>
      </c>
      <c r="G301">
        <v>0.07555543841194434</v>
      </c>
      <c r="H301">
        <v>0.065</v>
      </c>
      <c r="I301">
        <v>0.1577542033848864</v>
      </c>
      <c r="J301" t="s">
        <v>358</v>
      </c>
      <c r="K301" t="s">
        <v>498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0.011200079787841</v>
      </c>
      <c r="R301" t="s">
        <v>765</v>
      </c>
      <c r="S301" t="s">
        <v>771</v>
      </c>
      <c r="T301">
        <v>8146.983668</v>
      </c>
      <c r="U301" s="2">
        <v>44413</v>
      </c>
      <c r="V301" t="s">
        <v>780</v>
      </c>
    </row>
    <row r="302" spans="1:22">
      <c r="A302" s="1" t="s">
        <v>322</v>
      </c>
      <c r="B302">
        <f>HYPERLINK("https://www.suredividend.com/sure-analysis-COLD/","Americold Realty Trust")</f>
        <v>0</v>
      </c>
      <c r="C302">
        <v>30.81</v>
      </c>
      <c r="D302">
        <v>44</v>
      </c>
      <c r="E302">
        <v>0.7002272727272727</v>
      </c>
      <c r="F302">
        <v>0.02856215514443363</v>
      </c>
      <c r="G302">
        <v>0.07387120094394084</v>
      </c>
      <c r="H302">
        <v>0.06</v>
      </c>
      <c r="I302">
        <v>0.1571566265046258</v>
      </c>
      <c r="J302" t="s">
        <v>358</v>
      </c>
      <c r="K302" t="s">
        <v>358</v>
      </c>
      <c r="L302">
        <v>1.37</v>
      </c>
      <c r="M302">
        <v>0.88</v>
      </c>
      <c r="N302">
        <v>0.6423357664233577</v>
      </c>
      <c r="O302">
        <v>3</v>
      </c>
      <c r="P302">
        <v>0.04563955259127317</v>
      </c>
      <c r="Q302">
        <v>-0.100068330837561</v>
      </c>
      <c r="R302" t="s">
        <v>767</v>
      </c>
      <c r="S302" t="s">
        <v>779</v>
      </c>
      <c r="T302">
        <v>8080.392326</v>
      </c>
      <c r="U302" s="2">
        <v>44418</v>
      </c>
      <c r="V302" t="s">
        <v>780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102.37</v>
      </c>
      <c r="D303">
        <v>130</v>
      </c>
      <c r="E303">
        <v>0.7874615384615385</v>
      </c>
      <c r="F303">
        <v>0.01680179740158249</v>
      </c>
      <c r="G303">
        <v>0.04894841196320843</v>
      </c>
      <c r="H303">
        <v>0.09</v>
      </c>
      <c r="I303">
        <v>0.1557655109744354</v>
      </c>
      <c r="J303" t="s">
        <v>358</v>
      </c>
      <c r="K303" t="s">
        <v>498</v>
      </c>
      <c r="L303">
        <v>7.2</v>
      </c>
      <c r="M303">
        <v>1.72</v>
      </c>
      <c r="N303">
        <v>0.2388888888888889</v>
      </c>
      <c r="O303">
        <v>0</v>
      </c>
      <c r="P303">
        <v>0.08614793340566318</v>
      </c>
      <c r="Q303">
        <v>0.281990044748353</v>
      </c>
      <c r="R303" t="s">
        <v>765</v>
      </c>
      <c r="S303" t="s">
        <v>775</v>
      </c>
      <c r="T303">
        <v>2210.281079</v>
      </c>
      <c r="U303" s="2">
        <v>44431</v>
      </c>
      <c r="V303" t="s">
        <v>787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43.97</v>
      </c>
      <c r="D304">
        <v>128</v>
      </c>
      <c r="E304">
        <v>0.343515625</v>
      </c>
      <c r="F304">
        <v>0.04775983625199</v>
      </c>
      <c r="G304">
        <v>0.2382567406293137</v>
      </c>
      <c r="H304">
        <v>-0.1</v>
      </c>
      <c r="I304">
        <v>0.1521746447894305</v>
      </c>
      <c r="J304" t="s">
        <v>358</v>
      </c>
      <c r="K304" t="s">
        <v>762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1.443553468764115</v>
      </c>
      <c r="R304" t="s">
        <v>765</v>
      </c>
      <c r="S304" t="s">
        <v>771</v>
      </c>
      <c r="T304">
        <v>8784.785754</v>
      </c>
      <c r="U304" s="2">
        <v>44442</v>
      </c>
      <c r="V304" t="s">
        <v>782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22.23</v>
      </c>
      <c r="D305">
        <v>33</v>
      </c>
      <c r="E305">
        <v>0.6736363636363637</v>
      </c>
      <c r="F305">
        <v>0.05443094916779127</v>
      </c>
      <c r="G305">
        <v>0.08221835477799333</v>
      </c>
      <c r="H305">
        <v>0.03</v>
      </c>
      <c r="I305">
        <v>0.1503373915969997</v>
      </c>
      <c r="J305" t="s">
        <v>358</v>
      </c>
      <c r="K305" t="s">
        <v>761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0.263510255028226</v>
      </c>
      <c r="R305" t="s">
        <v>765</v>
      </c>
      <c r="S305" t="s">
        <v>776</v>
      </c>
      <c r="T305">
        <v>2504.196895</v>
      </c>
      <c r="U305" s="2">
        <v>44414</v>
      </c>
      <c r="V305" t="s">
        <v>788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46.86</v>
      </c>
      <c r="D306">
        <v>60</v>
      </c>
      <c r="E306">
        <v>0.781</v>
      </c>
      <c r="F306">
        <v>0.08770806658130603</v>
      </c>
      <c r="G306">
        <v>0.05067837378623929</v>
      </c>
      <c r="H306">
        <v>0.03</v>
      </c>
      <c r="I306">
        <v>0.1426094965054738</v>
      </c>
      <c r="J306" t="s">
        <v>358</v>
      </c>
      <c r="K306" t="s">
        <v>761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0.5061926974424961</v>
      </c>
      <c r="R306" t="s">
        <v>766</v>
      </c>
      <c r="S306" t="s">
        <v>778</v>
      </c>
      <c r="T306">
        <v>10373.421877</v>
      </c>
      <c r="U306" s="2">
        <v>44424</v>
      </c>
      <c r="V306" t="s">
        <v>787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47.58</v>
      </c>
      <c r="D307">
        <v>65</v>
      </c>
      <c r="E307">
        <v>0.732</v>
      </c>
      <c r="F307">
        <v>0.01176965111391341</v>
      </c>
      <c r="G307">
        <v>0.06438264284594131</v>
      </c>
      <c r="H307">
        <v>0.06</v>
      </c>
      <c r="I307">
        <v>0.1365174218452432</v>
      </c>
      <c r="J307" t="s">
        <v>358</v>
      </c>
      <c r="K307" t="s">
        <v>498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0.092916351283992</v>
      </c>
      <c r="R307" t="s">
        <v>765</v>
      </c>
      <c r="S307" t="s">
        <v>775</v>
      </c>
      <c r="T307">
        <v>12291.071322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HYPERLINK("https://www.suredividend.com/sure-analysis-HPE/","Hewlett Packard Enterprise Co")</f>
        <v>0</v>
      </c>
      <c r="C308">
        <v>13.55</v>
      </c>
      <c r="D308">
        <v>16.49</v>
      </c>
      <c r="E308">
        <v>0.8217101273499091</v>
      </c>
      <c r="F308">
        <v>0.03542435424354243</v>
      </c>
      <c r="G308">
        <v>0.04005491833367358</v>
      </c>
      <c r="H308">
        <v>0.06</v>
      </c>
      <c r="I308">
        <v>0.1289106073689299</v>
      </c>
      <c r="J308" t="s">
        <v>358</v>
      </c>
      <c r="K308" t="s">
        <v>358</v>
      </c>
      <c r="L308">
        <v>1.94</v>
      </c>
      <c r="M308">
        <v>0.48</v>
      </c>
      <c r="N308">
        <v>0.2474226804123711</v>
      </c>
      <c r="O308">
        <v>4</v>
      </c>
      <c r="P308">
        <v>0.04910201101938982</v>
      </c>
      <c r="Q308">
        <v>0.5330565314595971</v>
      </c>
      <c r="R308" t="s">
        <v>765</v>
      </c>
      <c r="S308" t="s">
        <v>777</v>
      </c>
      <c r="T308">
        <v>17580.192188</v>
      </c>
      <c r="U308" s="2">
        <v>44443</v>
      </c>
      <c r="V308" t="s">
        <v>780</v>
      </c>
    </row>
    <row r="309" spans="1:22">
      <c r="A309" s="1" t="s">
        <v>329</v>
      </c>
      <c r="B309">
        <f>HYPERLINK("https://www.suredividend.com/sure-analysis-LAD/","Lithia Motors, Inc.")</f>
        <v>0</v>
      </c>
      <c r="C309">
        <v>341.51</v>
      </c>
      <c r="D309">
        <v>350</v>
      </c>
      <c r="E309">
        <v>0.9757428571428571</v>
      </c>
      <c r="F309">
        <v>0.004099440719159029</v>
      </c>
      <c r="G309">
        <v>0.004923318565168033</v>
      </c>
      <c r="H309">
        <v>0.12</v>
      </c>
      <c r="I309">
        <v>0.1285470504625879</v>
      </c>
      <c r="J309" t="s">
        <v>358</v>
      </c>
      <c r="K309" t="s">
        <v>763</v>
      </c>
      <c r="L309">
        <v>25</v>
      </c>
      <c r="M309">
        <v>1.4</v>
      </c>
      <c r="N309">
        <v>0.05599999999999999</v>
      </c>
      <c r="O309">
        <v>8</v>
      </c>
      <c r="P309">
        <v>0.05960186535674428</v>
      </c>
      <c r="Q309">
        <v>0.51743832305106</v>
      </c>
      <c r="R309" t="s">
        <v>765</v>
      </c>
      <c r="S309" t="s">
        <v>775</v>
      </c>
      <c r="T309">
        <v>10313.361605</v>
      </c>
      <c r="U309" s="2">
        <v>44398</v>
      </c>
      <c r="V309" t="s">
        <v>782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131.68</v>
      </c>
      <c r="D310">
        <v>158.96</v>
      </c>
      <c r="E310">
        <v>0.8283844992450931</v>
      </c>
      <c r="F310">
        <v>0.01328979343863912</v>
      </c>
      <c r="G310">
        <v>0.03837352663607696</v>
      </c>
      <c r="H310">
        <v>0.075</v>
      </c>
      <c r="I310">
        <v>0.1271958495245766</v>
      </c>
      <c r="J310" t="s">
        <v>358</v>
      </c>
      <c r="K310" t="s">
        <v>498</v>
      </c>
      <c r="L310">
        <v>12.7</v>
      </c>
      <c r="M310">
        <v>1.75</v>
      </c>
      <c r="N310">
        <v>0.1377952755905512</v>
      </c>
      <c r="O310">
        <v>7</v>
      </c>
      <c r="P310">
        <v>0.08979006975364512</v>
      </c>
      <c r="Q310">
        <v>1.532095935763186</v>
      </c>
      <c r="R310" t="s">
        <v>765</v>
      </c>
      <c r="S310" t="s">
        <v>775</v>
      </c>
      <c r="T310">
        <v>8774.731126999999</v>
      </c>
      <c r="U310" s="2">
        <v>44439</v>
      </c>
      <c r="V310" t="s">
        <v>782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131.13</v>
      </c>
      <c r="D311">
        <v>171</v>
      </c>
      <c r="E311">
        <v>0.7668421052631579</v>
      </c>
      <c r="F311">
        <v>0.02470830473575841</v>
      </c>
      <c r="G311">
        <v>0.05452968549461423</v>
      </c>
      <c r="H311">
        <v>0.05</v>
      </c>
      <c r="I311">
        <v>0.1257184299059089</v>
      </c>
      <c r="J311" t="s">
        <v>358</v>
      </c>
      <c r="K311" t="s">
        <v>498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0.487823076328133</v>
      </c>
      <c r="R311" t="s">
        <v>765</v>
      </c>
      <c r="S311" t="s">
        <v>773</v>
      </c>
      <c r="T311">
        <v>38678.08498</v>
      </c>
      <c r="U311" s="2">
        <v>44417</v>
      </c>
      <c r="V311" t="s">
        <v>782</v>
      </c>
    </row>
    <row r="312" spans="1:22">
      <c r="A312" s="1" t="s">
        <v>332</v>
      </c>
      <c r="B312">
        <f>HYPERLINK("https://www.suredividend.com/sure-analysis-ALLY/","Ally Financial Inc")</f>
        <v>0</v>
      </c>
      <c r="C312">
        <v>53.24</v>
      </c>
      <c r="D312">
        <v>73</v>
      </c>
      <c r="E312">
        <v>0.7293150684931508</v>
      </c>
      <c r="F312">
        <v>0.01878287002253944</v>
      </c>
      <c r="G312">
        <v>0.06516518404539218</v>
      </c>
      <c r="H312">
        <v>0.04</v>
      </c>
      <c r="I312">
        <v>0.1240361247114929</v>
      </c>
      <c r="J312" t="s">
        <v>358</v>
      </c>
      <c r="K312" t="s">
        <v>498</v>
      </c>
      <c r="L312">
        <v>8.1</v>
      </c>
      <c r="M312">
        <v>1</v>
      </c>
      <c r="N312">
        <v>0.1234567901234568</v>
      </c>
      <c r="O312">
        <v>5</v>
      </c>
      <c r="P312">
        <v>0.09993032380125255</v>
      </c>
      <c r="Q312">
        <v>1.314471445399415</v>
      </c>
      <c r="R312" t="s">
        <v>765</v>
      </c>
      <c r="S312" t="s">
        <v>773</v>
      </c>
      <c r="T312">
        <v>19126.739095</v>
      </c>
      <c r="U312" s="2">
        <v>44402</v>
      </c>
      <c r="V312" t="s">
        <v>783</v>
      </c>
    </row>
    <row r="313" spans="1:22">
      <c r="A313" s="1" t="s">
        <v>333</v>
      </c>
      <c r="B313">
        <f>HYPERLINK("https://www.suredividend.com/sure-analysis-OGS/","ONE Gas Inc")</f>
        <v>0</v>
      </c>
      <c r="C313">
        <v>65.13</v>
      </c>
      <c r="D313">
        <v>76</v>
      </c>
      <c r="E313">
        <v>0.8569736842105262</v>
      </c>
      <c r="F313">
        <v>0.03562106556118532</v>
      </c>
      <c r="G313">
        <v>0.03135102091647957</v>
      </c>
      <c r="H313">
        <v>0.06</v>
      </c>
      <c r="I313">
        <v>0.1219361443590978</v>
      </c>
      <c r="J313" t="s">
        <v>358</v>
      </c>
      <c r="K313" t="s">
        <v>762</v>
      </c>
      <c r="L313">
        <v>3.8</v>
      </c>
      <c r="M313">
        <v>2.32</v>
      </c>
      <c r="N313">
        <v>0.6105263157894737</v>
      </c>
      <c r="O313">
        <v>7</v>
      </c>
      <c r="P313">
        <v>0.06509372738446295</v>
      </c>
      <c r="Q313">
        <v>0.001839132462469</v>
      </c>
      <c r="R313" t="s">
        <v>765</v>
      </c>
      <c r="S313" t="s">
        <v>776</v>
      </c>
      <c r="T313">
        <v>3459.360629</v>
      </c>
      <c r="U313" s="2">
        <v>44411</v>
      </c>
      <c r="V313" t="s">
        <v>780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86.825</v>
      </c>
      <c r="D314">
        <v>106</v>
      </c>
      <c r="E314">
        <v>0.8191037735849057</v>
      </c>
      <c r="F314">
        <v>0.009213936078318457</v>
      </c>
      <c r="G314">
        <v>0.04071595970927611</v>
      </c>
      <c r="H314">
        <v>0.07000000000000001</v>
      </c>
      <c r="I314">
        <v>0.1215065303473393</v>
      </c>
      <c r="J314" t="s">
        <v>358</v>
      </c>
      <c r="K314" t="s">
        <v>498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0.235512931711451</v>
      </c>
      <c r="R314" t="s">
        <v>765</v>
      </c>
      <c r="S314" t="s">
        <v>775</v>
      </c>
      <c r="T314">
        <v>31276.624435</v>
      </c>
      <c r="U314" s="2">
        <v>44403</v>
      </c>
      <c r="V314" t="s">
        <v>782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36.67</v>
      </c>
      <c r="D315">
        <v>42</v>
      </c>
      <c r="E315">
        <v>0.8730952380952381</v>
      </c>
      <c r="F315">
        <v>0.07908371966184892</v>
      </c>
      <c r="G315">
        <v>0.02751383009077313</v>
      </c>
      <c r="H315">
        <v>0.03</v>
      </c>
      <c r="I315">
        <v>0.1189085700327575</v>
      </c>
      <c r="J315" t="s">
        <v>358</v>
      </c>
      <c r="K315" t="s">
        <v>761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0.129377601749662</v>
      </c>
      <c r="R315" t="s">
        <v>765</v>
      </c>
      <c r="S315" t="s">
        <v>774</v>
      </c>
      <c r="T315">
        <v>84602.920902</v>
      </c>
      <c r="U315" s="2">
        <v>44462</v>
      </c>
      <c r="V315" t="s">
        <v>783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46.33</v>
      </c>
      <c r="D316">
        <v>65</v>
      </c>
      <c r="E316">
        <v>0.7127692307692307</v>
      </c>
      <c r="F316">
        <v>0.03453485862292251</v>
      </c>
      <c r="G316">
        <v>0.07006512819498711</v>
      </c>
      <c r="H316">
        <v>0.02</v>
      </c>
      <c r="I316">
        <v>0.1162668534656435</v>
      </c>
      <c r="J316" t="s">
        <v>358</v>
      </c>
      <c r="K316" t="s">
        <v>358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0.514857061921717</v>
      </c>
      <c r="R316" t="s">
        <v>765</v>
      </c>
      <c r="S316" t="s">
        <v>773</v>
      </c>
      <c r="T316">
        <v>13121.568003</v>
      </c>
      <c r="U316" s="2">
        <v>44417</v>
      </c>
      <c r="V316" t="s">
        <v>784</v>
      </c>
    </row>
    <row r="317" spans="1:22">
      <c r="A317" s="1" t="s">
        <v>337</v>
      </c>
      <c r="B317">
        <f>HYPERLINK("https://www.suredividend.com/sure-analysis-HPQ/","HP Inc")</f>
        <v>0</v>
      </c>
      <c r="C317">
        <v>28.145</v>
      </c>
      <c r="D317">
        <v>36</v>
      </c>
      <c r="E317">
        <v>0.7818055555555555</v>
      </c>
      <c r="F317">
        <v>0.02771362586605081</v>
      </c>
      <c r="G317">
        <v>0.05046176523249102</v>
      </c>
      <c r="H317">
        <v>0.04</v>
      </c>
      <c r="I317">
        <v>0.1147509200498105</v>
      </c>
      <c r="J317" t="s">
        <v>358</v>
      </c>
      <c r="K317" t="s">
        <v>358</v>
      </c>
      <c r="L317">
        <v>3.59</v>
      </c>
      <c r="M317">
        <v>0.78</v>
      </c>
      <c r="N317">
        <v>0.2172701949860724</v>
      </c>
      <c r="O317">
        <v>10</v>
      </c>
      <c r="P317">
        <v>0.05922384104881218</v>
      </c>
      <c r="Q317">
        <v>0.5597475862376521</v>
      </c>
      <c r="R317" t="s">
        <v>765</v>
      </c>
      <c r="S317" t="s">
        <v>777</v>
      </c>
      <c r="T317">
        <v>32247.474289</v>
      </c>
      <c r="U317" s="2">
        <v>44440</v>
      </c>
      <c r="V317" t="s">
        <v>783</v>
      </c>
    </row>
    <row r="318" spans="1:22">
      <c r="A318" s="1" t="s">
        <v>338</v>
      </c>
      <c r="B318">
        <f>HYPERLINK("https://www.suredividend.com/sure-analysis-SUN/","Sunoco LP")</f>
        <v>0</v>
      </c>
      <c r="C318">
        <v>37.549</v>
      </c>
      <c r="D318">
        <v>44</v>
      </c>
      <c r="E318">
        <v>0.8533863636363637</v>
      </c>
      <c r="F318">
        <v>0.08788516338650829</v>
      </c>
      <c r="G318">
        <v>0.03221665025495613</v>
      </c>
      <c r="H318">
        <v>0.015</v>
      </c>
      <c r="I318">
        <v>0.1121955958307734</v>
      </c>
      <c r="J318" t="s">
        <v>358</v>
      </c>
      <c r="K318" t="s">
        <v>761</v>
      </c>
      <c r="L318">
        <v>6.75</v>
      </c>
      <c r="M318">
        <v>3.3</v>
      </c>
      <c r="N318">
        <v>0.4888888888888889</v>
      </c>
      <c r="O318">
        <v>0</v>
      </c>
      <c r="P318">
        <v>0</v>
      </c>
      <c r="Q318">
        <v>0.725863969994602</v>
      </c>
      <c r="R318" t="s">
        <v>766</v>
      </c>
      <c r="S318" t="s">
        <v>778</v>
      </c>
      <c r="T318">
        <v>3118.202921</v>
      </c>
      <c r="U318" s="2">
        <v>44417</v>
      </c>
      <c r="V318" t="s">
        <v>783</v>
      </c>
    </row>
    <row r="319" spans="1:22">
      <c r="A319" s="1" t="s">
        <v>339</v>
      </c>
      <c r="B319">
        <f>HYPERLINK("https://www.suredividend.com/sure-analysis-DDAIF/","Daimler AG")</f>
        <v>0</v>
      </c>
      <c r="C319">
        <v>85.72499999999999</v>
      </c>
      <c r="D319">
        <v>124</v>
      </c>
      <c r="E319">
        <v>0.6913306451612903</v>
      </c>
      <c r="F319">
        <v>0.01901428988043161</v>
      </c>
      <c r="G319">
        <v>0.07662097916197053</v>
      </c>
      <c r="H319">
        <v>0.02</v>
      </c>
      <c r="I319">
        <v>0.1116971129715871</v>
      </c>
      <c r="J319" t="s">
        <v>358</v>
      </c>
      <c r="K319" t="s">
        <v>498</v>
      </c>
      <c r="L319">
        <v>15.5</v>
      </c>
      <c r="M319">
        <v>1.63</v>
      </c>
      <c r="N319">
        <v>0.1051612903225806</v>
      </c>
      <c r="O319">
        <v>1</v>
      </c>
      <c r="P319">
        <v>0.02003947753885926</v>
      </c>
      <c r="Q319">
        <v>0.6775929549902151</v>
      </c>
      <c r="R319" t="s">
        <v>765</v>
      </c>
      <c r="S319" t="s">
        <v>775</v>
      </c>
      <c r="T319">
        <v>91711.81514399999</v>
      </c>
      <c r="U319" s="2">
        <v>44402</v>
      </c>
      <c r="V319" t="s">
        <v>783</v>
      </c>
    </row>
    <row r="320" spans="1:22">
      <c r="A320" s="1" t="s">
        <v>340</v>
      </c>
      <c r="B320">
        <f>HYPERLINK("https://www.suredividend.com/sure-analysis-TTE/","TotalEnergies SE")</f>
        <v>0</v>
      </c>
      <c r="C320">
        <v>46.635</v>
      </c>
      <c r="D320">
        <v>54</v>
      </c>
      <c r="E320">
        <v>0.8636111111111111</v>
      </c>
      <c r="F320">
        <v>0.06647367856759945</v>
      </c>
      <c r="G320">
        <v>0.02976080063383324</v>
      </c>
      <c r="H320">
        <v>0.03</v>
      </c>
      <c r="I320">
        <v>0.1099855700762218</v>
      </c>
      <c r="J320" t="s">
        <v>358</v>
      </c>
      <c r="K320" t="s">
        <v>761</v>
      </c>
      <c r="L320">
        <v>4.5</v>
      </c>
      <c r="M320">
        <v>3.1</v>
      </c>
      <c r="N320">
        <v>0.6888888888888889</v>
      </c>
      <c r="O320">
        <v>3</v>
      </c>
      <c r="P320">
        <v>0.01011583942602723</v>
      </c>
      <c r="Q320">
        <v>0.4600752377738611</v>
      </c>
      <c r="R320" t="s">
        <v>765</v>
      </c>
      <c r="S320" t="s">
        <v>778</v>
      </c>
      <c r="T320">
        <v>123387.262544</v>
      </c>
      <c r="U320" s="2">
        <v>44425</v>
      </c>
      <c r="V320" t="s">
        <v>787</v>
      </c>
    </row>
    <row r="321" spans="1:22">
      <c r="A321" s="1" t="s">
        <v>341</v>
      </c>
      <c r="B321">
        <f>HYPERLINK("https://www.suredividend.com/sure-analysis-OGE/","Oge Energy Corp.")</f>
        <v>0</v>
      </c>
      <c r="C321">
        <v>33.885</v>
      </c>
      <c r="D321">
        <v>37</v>
      </c>
      <c r="E321">
        <v>0.9158108108108107</v>
      </c>
      <c r="F321">
        <v>0.04751364910727461</v>
      </c>
      <c r="G321">
        <v>0.0177446938828929</v>
      </c>
      <c r="H321">
        <v>0.05</v>
      </c>
      <c r="I321">
        <v>0.1085193778816638</v>
      </c>
      <c r="J321" t="s">
        <v>358</v>
      </c>
      <c r="K321" t="s">
        <v>762</v>
      </c>
      <c r="L321">
        <v>2.17</v>
      </c>
      <c r="M321">
        <v>1.61</v>
      </c>
      <c r="N321">
        <v>0.7419354838709679</v>
      </c>
      <c r="O321">
        <v>14</v>
      </c>
      <c r="P321">
        <v>0.05558039563298656</v>
      </c>
      <c r="Q321">
        <v>0.218599640673971</v>
      </c>
      <c r="R321" t="s">
        <v>765</v>
      </c>
      <c r="S321" t="s">
        <v>776</v>
      </c>
      <c r="T321">
        <v>6747.877709</v>
      </c>
      <c r="U321" s="2">
        <v>44439</v>
      </c>
      <c r="V321" t="s">
        <v>787</v>
      </c>
    </row>
    <row r="322" spans="1:22">
      <c r="A322" s="1" t="s">
        <v>342</v>
      </c>
      <c r="B322">
        <f>HYPERLINK("https://www.suredividend.com/sure-analysis-LNC/","Lincoln National Corp.")</f>
        <v>0</v>
      </c>
      <c r="C322">
        <v>68.77</v>
      </c>
      <c r="D322">
        <v>78</v>
      </c>
      <c r="E322">
        <v>0.8816666666666666</v>
      </c>
      <c r="F322">
        <v>0.02442925694343464</v>
      </c>
      <c r="G322">
        <v>0.02550814880024932</v>
      </c>
      <c r="H322">
        <v>0.06</v>
      </c>
      <c r="I322">
        <v>0.107784006643086</v>
      </c>
      <c r="J322" t="s">
        <v>358</v>
      </c>
      <c r="K322" t="s">
        <v>358</v>
      </c>
      <c r="L322">
        <v>9.199999999999999</v>
      </c>
      <c r="M322">
        <v>1.68</v>
      </c>
      <c r="N322">
        <v>0.1826086956521739</v>
      </c>
      <c r="O322">
        <v>11</v>
      </c>
      <c r="P322">
        <v>0.07033701387905711</v>
      </c>
      <c r="Q322">
        <v>1.290418551575172</v>
      </c>
      <c r="R322" t="s">
        <v>765</v>
      </c>
      <c r="S322" t="s">
        <v>773</v>
      </c>
      <c r="T322">
        <v>12673.548498</v>
      </c>
      <c r="U322" s="2">
        <v>44414</v>
      </c>
      <c r="V322" t="s">
        <v>782</v>
      </c>
    </row>
    <row r="323" spans="1:22">
      <c r="A323" s="1" t="s">
        <v>343</v>
      </c>
      <c r="B323">
        <f>HYPERLINK("https://www.suredividend.com/sure-analysis-LYB/","LyondellBasell Industries NV")</f>
        <v>0</v>
      </c>
      <c r="C323">
        <v>93.61</v>
      </c>
      <c r="D323">
        <v>150</v>
      </c>
      <c r="E323">
        <v>0.6240666666666667</v>
      </c>
      <c r="F323">
        <v>0.04828543958978741</v>
      </c>
      <c r="G323">
        <v>0.09888894102470558</v>
      </c>
      <c r="H323">
        <v>-0.03</v>
      </c>
      <c r="I323">
        <v>0.1072897310195426</v>
      </c>
      <c r="J323" t="s">
        <v>358</v>
      </c>
      <c r="K323" t="s">
        <v>762</v>
      </c>
      <c r="L323">
        <v>15</v>
      </c>
      <c r="M323">
        <v>4.52</v>
      </c>
      <c r="N323">
        <v>0.3013333333333333</v>
      </c>
      <c r="O323">
        <v>10</v>
      </c>
      <c r="P323">
        <v>0.06004276922950136</v>
      </c>
      <c r="Q323">
        <v>0.375337056301295</v>
      </c>
      <c r="R323" t="s">
        <v>765</v>
      </c>
      <c r="S323" t="s">
        <v>771</v>
      </c>
      <c r="T323">
        <v>31223.664449</v>
      </c>
      <c r="U323" s="2">
        <v>44415</v>
      </c>
      <c r="V323" t="s">
        <v>784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609.45</v>
      </c>
      <c r="D324">
        <v>605</v>
      </c>
      <c r="E324">
        <v>1.007355371900827</v>
      </c>
      <c r="F324">
        <v>0.009844942160964803</v>
      </c>
      <c r="G324">
        <v>-0.001464617014298342</v>
      </c>
      <c r="H324">
        <v>0.1</v>
      </c>
      <c r="I324">
        <v>0.1070738914676221</v>
      </c>
      <c r="J324" t="s">
        <v>358</v>
      </c>
      <c r="K324" t="s">
        <v>763</v>
      </c>
      <c r="L324">
        <v>33.6</v>
      </c>
      <c r="M324">
        <v>6</v>
      </c>
      <c r="N324">
        <v>0.1785714285714286</v>
      </c>
      <c r="O324">
        <v>7</v>
      </c>
      <c r="P324">
        <v>0.08995882015965484</v>
      </c>
      <c r="Q324">
        <v>0.9533318983729141</v>
      </c>
      <c r="R324" t="s">
        <v>765</v>
      </c>
      <c r="S324" t="s">
        <v>777</v>
      </c>
      <c r="T324">
        <v>86955.14683300001</v>
      </c>
      <c r="U324" s="2">
        <v>44427</v>
      </c>
      <c r="V324" t="s">
        <v>786</v>
      </c>
    </row>
    <row r="325" spans="1:22">
      <c r="A325" s="1" t="s">
        <v>345</v>
      </c>
      <c r="B325">
        <f>HYPERLINK("https://www.suredividend.com/sure-analysis-TYCB/","Calvin b. Taylor Bankshares, Inc.")</f>
        <v>0</v>
      </c>
      <c r="C325">
        <v>35.75</v>
      </c>
      <c r="D325">
        <v>39</v>
      </c>
      <c r="E325">
        <v>0.9166666666666666</v>
      </c>
      <c r="F325">
        <v>0.03244755244755244</v>
      </c>
      <c r="G325">
        <v>0.01755457717558762</v>
      </c>
      <c r="H325">
        <v>0.06</v>
      </c>
      <c r="I325">
        <v>0.1066489383679221</v>
      </c>
      <c r="J325" t="s">
        <v>358</v>
      </c>
      <c r="K325" t="s">
        <v>358</v>
      </c>
      <c r="L325">
        <v>3.1</v>
      </c>
      <c r="M325">
        <v>1.16</v>
      </c>
      <c r="N325">
        <v>0.3741935483870967</v>
      </c>
      <c r="O325">
        <v>30</v>
      </c>
      <c r="P325">
        <v>0.07039956279333892</v>
      </c>
      <c r="Q325">
        <v>0.085303323305029</v>
      </c>
      <c r="R325" t="s">
        <v>765</v>
      </c>
      <c r="S325" t="s">
        <v>773</v>
      </c>
      <c r="T325">
        <v>98.854613</v>
      </c>
      <c r="U325" s="2">
        <v>44424</v>
      </c>
      <c r="V325" t="s">
        <v>783</v>
      </c>
    </row>
    <row r="326" spans="1:22">
      <c r="A326" s="1" t="s">
        <v>346</v>
      </c>
      <c r="B326">
        <f>HYPERLINK("https://www.suredividend.com/sure-analysis-PNW/","Pinnacle West Capital Corp.")</f>
        <v>0</v>
      </c>
      <c r="C326">
        <v>72.81</v>
      </c>
      <c r="D326">
        <v>87</v>
      </c>
      <c r="E326">
        <v>0.8368965517241379</v>
      </c>
      <c r="F326">
        <v>0.04628485098200796</v>
      </c>
      <c r="G326">
        <v>0.03625262646415917</v>
      </c>
      <c r="H326">
        <v>0.03</v>
      </c>
      <c r="I326">
        <v>0.105838285975532</v>
      </c>
      <c r="J326" t="s">
        <v>358</v>
      </c>
      <c r="K326" t="s">
        <v>762</v>
      </c>
      <c r="L326">
        <v>5</v>
      </c>
      <c r="M326">
        <v>3.37</v>
      </c>
      <c r="N326">
        <v>0.674</v>
      </c>
      <c r="O326">
        <v>9</v>
      </c>
      <c r="P326">
        <v>0.04994780736971771</v>
      </c>
      <c r="Q326">
        <v>0.065862020864994</v>
      </c>
      <c r="R326" t="s">
        <v>765</v>
      </c>
      <c r="S326" t="s">
        <v>776</v>
      </c>
      <c r="T326">
        <v>8187.105833</v>
      </c>
      <c r="U326" s="2">
        <v>44443</v>
      </c>
      <c r="V326" t="s">
        <v>786</v>
      </c>
    </row>
    <row r="327" spans="1:22">
      <c r="A327" s="1" t="s">
        <v>347</v>
      </c>
      <c r="B327">
        <f>HYPERLINK("https://www.suredividend.com/sure-analysis-FAF/","First American Financial Corp")</f>
        <v>0</v>
      </c>
      <c r="C327">
        <v>67.44</v>
      </c>
      <c r="D327">
        <v>78</v>
      </c>
      <c r="E327">
        <v>0.8646153846153846</v>
      </c>
      <c r="F327">
        <v>0.0302491103202847</v>
      </c>
      <c r="G327">
        <v>0.02952147056322407</v>
      </c>
      <c r="H327">
        <v>0.05</v>
      </c>
      <c r="I327">
        <v>0.1055402633845697</v>
      </c>
      <c r="J327" t="s">
        <v>358</v>
      </c>
      <c r="K327" t="s">
        <v>358</v>
      </c>
      <c r="L327">
        <v>7.12</v>
      </c>
      <c r="M327">
        <v>2.04</v>
      </c>
      <c r="N327">
        <v>0.2865168539325842</v>
      </c>
      <c r="O327">
        <v>10</v>
      </c>
      <c r="P327">
        <v>0.04970831195077574</v>
      </c>
      <c r="Q327">
        <v>0.364619906915979</v>
      </c>
      <c r="R327" t="s">
        <v>765</v>
      </c>
      <c r="S327" t="s">
        <v>773</v>
      </c>
      <c r="T327">
        <v>7348.146585</v>
      </c>
      <c r="U327" s="2">
        <v>44400</v>
      </c>
      <c r="V327" t="s">
        <v>782</v>
      </c>
    </row>
    <row r="328" spans="1:22">
      <c r="A328" s="1" t="s">
        <v>348</v>
      </c>
      <c r="B328">
        <f>HYPERLINK("https://www.suredividend.com/sure-analysis-IPPLF/","Inter Pipeline Ltd.")</f>
        <v>0</v>
      </c>
      <c r="C328">
        <v>15.768</v>
      </c>
      <c r="D328">
        <v>18</v>
      </c>
      <c r="E328">
        <v>0.876</v>
      </c>
      <c r="F328">
        <v>0.02409944190766108</v>
      </c>
      <c r="G328">
        <v>0.02683148996868634</v>
      </c>
      <c r="H328">
        <v>0.05</v>
      </c>
      <c r="I328">
        <v>0.104417782268508</v>
      </c>
      <c r="J328" t="s">
        <v>358</v>
      </c>
      <c r="K328" t="s">
        <v>498</v>
      </c>
      <c r="L328">
        <v>1.6</v>
      </c>
      <c r="M328">
        <v>0.38</v>
      </c>
      <c r="N328">
        <v>0.2375</v>
      </c>
      <c r="O328">
        <v>0</v>
      </c>
      <c r="P328">
        <v>0.1486983549970351</v>
      </c>
      <c r="Q328">
        <v>0.6383018515055171</v>
      </c>
      <c r="R328" t="s">
        <v>765</v>
      </c>
      <c r="S328" t="s">
        <v>778</v>
      </c>
      <c r="T328">
        <v>6767.927951</v>
      </c>
      <c r="U328" s="2">
        <v>44422</v>
      </c>
      <c r="V328" t="s">
        <v>789</v>
      </c>
    </row>
    <row r="329" spans="1:22">
      <c r="A329" s="1" t="s">
        <v>349</v>
      </c>
      <c r="B329">
        <f>HYPERLINK("https://www.suredividend.com/sure-analysis-AEG/","Aegon N. V.")</f>
        <v>0</v>
      </c>
      <c r="C329">
        <v>4.86</v>
      </c>
      <c r="D329">
        <v>5.6</v>
      </c>
      <c r="E329">
        <v>0.867857142857143</v>
      </c>
      <c r="F329">
        <v>0.03497942386831276</v>
      </c>
      <c r="G329">
        <v>0.02875119227729073</v>
      </c>
      <c r="H329">
        <v>0.04</v>
      </c>
      <c r="I329">
        <v>0.1017893465652853</v>
      </c>
      <c r="J329" t="s">
        <v>358</v>
      </c>
      <c r="K329" t="s">
        <v>358</v>
      </c>
      <c r="L329">
        <v>0.7</v>
      </c>
      <c r="M329">
        <v>0.17</v>
      </c>
      <c r="N329">
        <v>0.2428571428571429</v>
      </c>
      <c r="O329">
        <v>0</v>
      </c>
      <c r="P329">
        <v>0.0801851873035635</v>
      </c>
      <c r="Q329">
        <v>1.127944325481799</v>
      </c>
      <c r="R329" t="s">
        <v>765</v>
      </c>
      <c r="S329" t="s">
        <v>773</v>
      </c>
      <c r="T329">
        <v>10041.512481</v>
      </c>
      <c r="U329" s="2">
        <v>44438</v>
      </c>
      <c r="V329" t="s">
        <v>787</v>
      </c>
    </row>
    <row r="330" spans="1:22">
      <c r="A330" s="1" t="s">
        <v>350</v>
      </c>
      <c r="B330">
        <f>HYPERLINK("https://www.suredividend.com/sure-analysis-MPLX/","MPLX LP")</f>
        <v>0</v>
      </c>
      <c r="C330">
        <v>28.72</v>
      </c>
      <c r="D330">
        <v>29</v>
      </c>
      <c r="E330">
        <v>0.9903448275862069</v>
      </c>
      <c r="F330">
        <v>0.09575208913649025</v>
      </c>
      <c r="G330">
        <v>0.001942300988943435</v>
      </c>
      <c r="H330">
        <v>0.02</v>
      </c>
      <c r="I330">
        <v>0.1017678053269122</v>
      </c>
      <c r="J330" t="s">
        <v>358</v>
      </c>
      <c r="K330" t="s">
        <v>761</v>
      </c>
      <c r="L330">
        <v>4.1</v>
      </c>
      <c r="M330">
        <v>2.75</v>
      </c>
      <c r="N330">
        <v>0.6707317073170732</v>
      </c>
      <c r="O330">
        <v>8</v>
      </c>
      <c r="P330">
        <v>0.02025369886610107</v>
      </c>
      <c r="Q330">
        <v>1.033953386507661</v>
      </c>
      <c r="R330" t="s">
        <v>766</v>
      </c>
      <c r="S330" t="s">
        <v>778</v>
      </c>
      <c r="T330">
        <v>29527.724403</v>
      </c>
      <c r="U330" s="2">
        <v>44416</v>
      </c>
      <c r="V330" t="s">
        <v>784</v>
      </c>
    </row>
    <row r="331" spans="1:22">
      <c r="A331" s="1" t="s">
        <v>351</v>
      </c>
      <c r="B331">
        <f>HYPERLINK("https://www.suredividend.com/sure-analysis-PFG/","Principal Financial Group Inc")</f>
        <v>0</v>
      </c>
      <c r="C331">
        <v>65.34</v>
      </c>
      <c r="D331">
        <v>71</v>
      </c>
      <c r="E331">
        <v>0.9202816901408452</v>
      </c>
      <c r="F331">
        <v>0.03856749311294766</v>
      </c>
      <c r="G331">
        <v>0.01675389250110437</v>
      </c>
      <c r="H331">
        <v>0.05</v>
      </c>
      <c r="I331">
        <v>0.1009112426044825</v>
      </c>
      <c r="J331" t="s">
        <v>358</v>
      </c>
      <c r="K331" t="s">
        <v>358</v>
      </c>
      <c r="L331">
        <v>6.45</v>
      </c>
      <c r="M331">
        <v>2.52</v>
      </c>
      <c r="N331">
        <v>0.3906976744186046</v>
      </c>
      <c r="O331">
        <v>14</v>
      </c>
      <c r="P331">
        <v>0.05985358218414349</v>
      </c>
      <c r="Q331">
        <v>0.7680890486954081</v>
      </c>
      <c r="R331" t="s">
        <v>765</v>
      </c>
      <c r="S331" t="s">
        <v>773</v>
      </c>
      <c r="T331">
        <v>17236.269873</v>
      </c>
      <c r="U331" s="2">
        <v>44410</v>
      </c>
      <c r="V331" t="s">
        <v>783</v>
      </c>
    </row>
    <row r="332" spans="1:22">
      <c r="A332" s="1" t="s">
        <v>352</v>
      </c>
      <c r="B332">
        <f>HYPERLINK("https://www.suredividend.com/sure-analysis-THO/","Thor Industries, Inc.")</f>
        <v>0</v>
      </c>
      <c r="C332">
        <v>109.22</v>
      </c>
      <c r="D332">
        <v>124</v>
      </c>
      <c r="E332">
        <v>0.8808064516129032</v>
      </c>
      <c r="F332">
        <v>0.01501556491485076</v>
      </c>
      <c r="G332">
        <v>0.02570837738252441</v>
      </c>
      <c r="H332">
        <v>0.06</v>
      </c>
      <c r="I332">
        <v>0.09893309184369681</v>
      </c>
      <c r="J332" t="s">
        <v>358</v>
      </c>
      <c r="K332" t="s">
        <v>498</v>
      </c>
      <c r="L332">
        <v>10.3</v>
      </c>
      <c r="M332">
        <v>1.64</v>
      </c>
      <c r="N332">
        <v>0.1592233009708738</v>
      </c>
      <c r="O332">
        <v>10</v>
      </c>
      <c r="P332">
        <v>0.03523310765751808</v>
      </c>
      <c r="Q332">
        <v>0.193049519518836</v>
      </c>
      <c r="R332" t="s">
        <v>765</v>
      </c>
      <c r="S332" t="s">
        <v>775</v>
      </c>
      <c r="T332">
        <v>6096.376797</v>
      </c>
      <c r="U332" s="2">
        <v>44368</v>
      </c>
      <c r="V332" t="s">
        <v>782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57.14</v>
      </c>
      <c r="D333">
        <v>63</v>
      </c>
      <c r="E333">
        <v>0.906984126984127</v>
      </c>
      <c r="F333">
        <v>0.06300315015750788</v>
      </c>
      <c r="G333">
        <v>0.01971794639839763</v>
      </c>
      <c r="H333">
        <v>0.03</v>
      </c>
      <c r="I333">
        <v>0.09891299926095942</v>
      </c>
      <c r="J333" t="s">
        <v>358</v>
      </c>
      <c r="K333" t="s">
        <v>762</v>
      </c>
      <c r="L333">
        <v>4.82</v>
      </c>
      <c r="M333">
        <v>3.6</v>
      </c>
      <c r="N333">
        <v>0.7468879668049793</v>
      </c>
      <c r="O333">
        <v>0</v>
      </c>
      <c r="P333">
        <v>0.009805797673485328</v>
      </c>
      <c r="Q333">
        <v>0.05251136505971701</v>
      </c>
      <c r="R333" t="s">
        <v>767</v>
      </c>
      <c r="S333" t="s">
        <v>779</v>
      </c>
      <c r="T333">
        <v>2619.903227</v>
      </c>
      <c r="U333" s="2">
        <v>44418</v>
      </c>
      <c r="V333" t="s">
        <v>782</v>
      </c>
    </row>
    <row r="334" spans="1:22">
      <c r="A334" s="1" t="s">
        <v>354</v>
      </c>
      <c r="B334">
        <f>HYPERLINK("https://www.suredividend.com/sure-analysis-SAXPY/","Sampo Plc")</f>
        <v>0</v>
      </c>
      <c r="C334">
        <v>25.38</v>
      </c>
      <c r="D334">
        <v>31</v>
      </c>
      <c r="E334">
        <v>0.8187096774193549</v>
      </c>
      <c r="F334">
        <v>0.04058313632781718</v>
      </c>
      <c r="G334">
        <v>0.04081613275777651</v>
      </c>
      <c r="H334">
        <v>0.025</v>
      </c>
      <c r="I334">
        <v>0.09871480753700923</v>
      </c>
      <c r="J334" t="s">
        <v>358</v>
      </c>
      <c r="K334" t="s">
        <v>762</v>
      </c>
      <c r="L334">
        <v>28.29</v>
      </c>
      <c r="M334">
        <v>1.03</v>
      </c>
      <c r="N334">
        <v>0.03640862495581478</v>
      </c>
      <c r="O334">
        <v>0</v>
      </c>
      <c r="P334">
        <v>0.02581661126327583</v>
      </c>
      <c r="Q334">
        <v>0.303543913713405</v>
      </c>
      <c r="R334" t="s">
        <v>765</v>
      </c>
      <c r="S334" t="s">
        <v>773</v>
      </c>
      <c r="T334">
        <v>28128.747906</v>
      </c>
      <c r="U334" s="2">
        <v>44417</v>
      </c>
      <c r="V334" t="s">
        <v>781</v>
      </c>
    </row>
    <row r="335" spans="1:22">
      <c r="A335" s="1" t="s">
        <v>355</v>
      </c>
      <c r="B335">
        <f>HYPERLINK("https://www.suredividend.com/sure-analysis-POR/","Portland General Electric Co")</f>
        <v>0</v>
      </c>
      <c r="C335">
        <v>48.33</v>
      </c>
      <c r="D335">
        <v>52</v>
      </c>
      <c r="E335">
        <v>0.9294230769230769</v>
      </c>
      <c r="F335">
        <v>0.03558866128698531</v>
      </c>
      <c r="G335">
        <v>0.01474591037092621</v>
      </c>
      <c r="H335">
        <v>0.05</v>
      </c>
      <c r="I335">
        <v>0.09659679966759316</v>
      </c>
      <c r="J335" t="s">
        <v>358</v>
      </c>
      <c r="K335" t="s">
        <v>762</v>
      </c>
      <c r="L335">
        <v>2.75</v>
      </c>
      <c r="M335">
        <v>1.72</v>
      </c>
      <c r="N335">
        <v>0.6254545454545455</v>
      </c>
      <c r="O335">
        <v>14</v>
      </c>
      <c r="P335">
        <v>0.05983895403096029</v>
      </c>
      <c r="Q335">
        <v>0.4599083057387751</v>
      </c>
      <c r="R335" t="s">
        <v>765</v>
      </c>
      <c r="S335" t="s">
        <v>776</v>
      </c>
      <c r="T335">
        <v>4387.125677</v>
      </c>
      <c r="U335" s="2">
        <v>44408</v>
      </c>
      <c r="V335" t="s">
        <v>782</v>
      </c>
    </row>
    <row r="336" spans="1:22">
      <c r="A336" s="1" t="s">
        <v>356</v>
      </c>
      <c r="B336">
        <f>HYPERLINK("https://www.suredividend.com/sure-analysis-ALE/","Allete, Inc.")</f>
        <v>0</v>
      </c>
      <c r="C336">
        <v>59.395</v>
      </c>
      <c r="D336">
        <v>63</v>
      </c>
      <c r="E336">
        <v>0.9427777777777778</v>
      </c>
      <c r="F336">
        <v>0.04242781378903948</v>
      </c>
      <c r="G336">
        <v>0.01185465168192157</v>
      </c>
      <c r="H336">
        <v>0.05</v>
      </c>
      <c r="I336">
        <v>0.09658869951268434</v>
      </c>
      <c r="J336" t="s">
        <v>358</v>
      </c>
      <c r="K336" t="s">
        <v>762</v>
      </c>
      <c r="L336">
        <v>3.15</v>
      </c>
      <c r="M336">
        <v>2.52</v>
      </c>
      <c r="N336">
        <v>0.8</v>
      </c>
      <c r="O336">
        <v>10</v>
      </c>
      <c r="P336">
        <v>0.02990332946790675</v>
      </c>
      <c r="Q336">
        <v>0.212936355027267</v>
      </c>
      <c r="R336" t="s">
        <v>765</v>
      </c>
      <c r="S336" t="s">
        <v>776</v>
      </c>
      <c r="T336">
        <v>3106.294312</v>
      </c>
      <c r="U336" s="2">
        <v>44417</v>
      </c>
      <c r="V336" t="s">
        <v>782</v>
      </c>
    </row>
    <row r="337" spans="1:22">
      <c r="A337" s="1" t="s">
        <v>357</v>
      </c>
      <c r="B337">
        <f>HYPERLINK("https://www.suredividend.com/sure-analysis-MKTX/","MarketAxess Holdings Inc.")</f>
        <v>0</v>
      </c>
      <c r="C337">
        <v>420.285</v>
      </c>
      <c r="D337">
        <v>319</v>
      </c>
      <c r="E337">
        <v>1.317507836990596</v>
      </c>
      <c r="F337">
        <v>0.006281451871944038</v>
      </c>
      <c r="G337">
        <v>-0.05365529051885032</v>
      </c>
      <c r="H337">
        <v>0.15</v>
      </c>
      <c r="I337">
        <v>0.0951535170558615</v>
      </c>
      <c r="J337" t="s">
        <v>358</v>
      </c>
      <c r="K337" t="s">
        <v>763</v>
      </c>
      <c r="L337">
        <v>7.6</v>
      </c>
      <c r="M337">
        <v>2.64</v>
      </c>
      <c r="N337">
        <v>0.3473684210526316</v>
      </c>
      <c r="O337">
        <v>11</v>
      </c>
      <c r="P337">
        <v>0.1500007374307972</v>
      </c>
      <c r="Q337">
        <v>-0.049387782027816</v>
      </c>
      <c r="R337" t="s">
        <v>765</v>
      </c>
      <c r="S337" t="s">
        <v>773</v>
      </c>
      <c r="T337">
        <v>16146.443219</v>
      </c>
      <c r="U337" s="2">
        <v>44400</v>
      </c>
      <c r="V337" t="s">
        <v>782</v>
      </c>
    </row>
    <row r="338" spans="1:22">
      <c r="A338" s="1" t="s">
        <v>358</v>
      </c>
      <c r="B338">
        <f>HYPERLINK("https://www.suredividend.com/sure-analysis-C/","Citigroup Inc")</f>
        <v>0</v>
      </c>
      <c r="C338">
        <v>71.29000000000001</v>
      </c>
      <c r="D338">
        <v>99</v>
      </c>
      <c r="E338">
        <v>0.7201010101010101</v>
      </c>
      <c r="F338">
        <v>0.02861551409734886</v>
      </c>
      <c r="G338">
        <v>0.06787720464234948</v>
      </c>
      <c r="H338">
        <v>0</v>
      </c>
      <c r="I338">
        <v>0.09296736029711128</v>
      </c>
      <c r="J338" t="s">
        <v>358</v>
      </c>
      <c r="K338" t="s">
        <v>358</v>
      </c>
      <c r="L338">
        <v>9.9</v>
      </c>
      <c r="M338">
        <v>2.04</v>
      </c>
      <c r="N338">
        <v>0.2060606060606061</v>
      </c>
      <c r="O338">
        <v>6</v>
      </c>
      <c r="P338">
        <v>0.06000153927394081</v>
      </c>
      <c r="Q338">
        <v>0.7543034638088281</v>
      </c>
      <c r="R338" t="s">
        <v>765</v>
      </c>
      <c r="S338" t="s">
        <v>773</v>
      </c>
      <c r="T338">
        <v>143658.533771</v>
      </c>
      <c r="U338" s="2">
        <v>44394</v>
      </c>
      <c r="V338" t="s">
        <v>785</v>
      </c>
    </row>
    <row r="339" spans="1:22">
      <c r="A339" s="1" t="s">
        <v>359</v>
      </c>
      <c r="B339">
        <f>HYPERLINK("https://www.suredividend.com/sure-analysis-CE/","Celanese Corp")</f>
        <v>0</v>
      </c>
      <c r="C339">
        <v>151.64</v>
      </c>
      <c r="D339">
        <v>178</v>
      </c>
      <c r="E339">
        <v>0.8519101123595505</v>
      </c>
      <c r="F339">
        <v>0.01793721973094171</v>
      </c>
      <c r="G339">
        <v>0.03257414243510781</v>
      </c>
      <c r="H339">
        <v>0.04</v>
      </c>
      <c r="I339">
        <v>0.09140925606029748</v>
      </c>
      <c r="J339" t="s">
        <v>358</v>
      </c>
      <c r="K339" t="s">
        <v>498</v>
      </c>
      <c r="L339">
        <v>15.5</v>
      </c>
      <c r="M339">
        <v>2.72</v>
      </c>
      <c r="N339">
        <v>0.175483870967742</v>
      </c>
      <c r="O339">
        <v>11</v>
      </c>
      <c r="P339">
        <v>0.09997050830829379</v>
      </c>
      <c r="Q339">
        <v>0.4370316666201911</v>
      </c>
      <c r="R339" t="s">
        <v>765</v>
      </c>
      <c r="S339" t="s">
        <v>772</v>
      </c>
      <c r="T339">
        <v>16606.202807</v>
      </c>
      <c r="U339" s="2">
        <v>44400</v>
      </c>
      <c r="V339" t="s">
        <v>782</v>
      </c>
    </row>
    <row r="340" spans="1:22">
      <c r="A340" s="1" t="s">
        <v>360</v>
      </c>
      <c r="B340">
        <f>HYPERLINK("https://www.suredividend.com/sure-analysis-GWLIF/","Great-West Lifeco, Inc.")</f>
        <v>0</v>
      </c>
      <c r="C340">
        <v>30.155</v>
      </c>
      <c r="D340">
        <v>31</v>
      </c>
      <c r="E340">
        <v>0.972741935483871</v>
      </c>
      <c r="F340">
        <v>0.04642679489305256</v>
      </c>
      <c r="G340">
        <v>0.005542595175128673</v>
      </c>
      <c r="H340">
        <v>0.045</v>
      </c>
      <c r="I340">
        <v>0.08944310073504314</v>
      </c>
      <c r="J340" t="s">
        <v>358</v>
      </c>
      <c r="K340" t="s">
        <v>761</v>
      </c>
      <c r="L340">
        <v>2.62</v>
      </c>
      <c r="M340">
        <v>1.4</v>
      </c>
      <c r="N340">
        <v>0.5343511450381678</v>
      </c>
      <c r="O340">
        <v>6</v>
      </c>
      <c r="P340">
        <v>0.02962100943384161</v>
      </c>
      <c r="Q340">
        <v>0.5796228391828181</v>
      </c>
      <c r="R340" t="s">
        <v>765</v>
      </c>
      <c r="S340" t="s">
        <v>773</v>
      </c>
      <c r="T340">
        <v>28035.189985</v>
      </c>
      <c r="U340" s="2">
        <v>44419</v>
      </c>
      <c r="V340" t="s">
        <v>782</v>
      </c>
    </row>
    <row r="341" spans="1:22">
      <c r="A341" s="1" t="s">
        <v>361</v>
      </c>
      <c r="B341">
        <f>HYPERLINK("https://www.suredividend.com/sure-analysis-EVRG/","Evergy Inc")</f>
        <v>0</v>
      </c>
      <c r="C341">
        <v>63.81</v>
      </c>
      <c r="D341">
        <v>60</v>
      </c>
      <c r="E341">
        <v>1.0635</v>
      </c>
      <c r="F341">
        <v>0.0340072089014261</v>
      </c>
      <c r="G341">
        <v>-0.01223757545020054</v>
      </c>
      <c r="H341">
        <v>0.07000000000000001</v>
      </c>
      <c r="I341">
        <v>0.08847791638094349</v>
      </c>
      <c r="J341" t="s">
        <v>358</v>
      </c>
      <c r="K341" t="s">
        <v>762</v>
      </c>
      <c r="L341">
        <v>3.32</v>
      </c>
      <c r="M341">
        <v>2.17</v>
      </c>
      <c r="N341">
        <v>0.6536144578313253</v>
      </c>
      <c r="O341">
        <v>16</v>
      </c>
      <c r="P341">
        <v>0.06975116951377336</v>
      </c>
      <c r="Q341">
        <v>0.336259654750348</v>
      </c>
      <c r="R341" t="s">
        <v>765</v>
      </c>
      <c r="S341" t="s">
        <v>776</v>
      </c>
      <c r="T341">
        <v>14519.138976</v>
      </c>
      <c r="U341" s="2">
        <v>44439</v>
      </c>
      <c r="V341" t="s">
        <v>787</v>
      </c>
    </row>
    <row r="342" spans="1:22">
      <c r="A342" s="1" t="s">
        <v>362</v>
      </c>
      <c r="B342">
        <f>HYPERLINK("https://www.suredividend.com/sure-analysis-FLO/","Flowers Foods, Inc.")</f>
        <v>0</v>
      </c>
      <c r="C342">
        <v>23.305</v>
      </c>
      <c r="D342">
        <v>24</v>
      </c>
      <c r="E342">
        <v>0.9710416666666667</v>
      </c>
      <c r="F342">
        <v>0.03604376743188157</v>
      </c>
      <c r="G342">
        <v>0.005894484611597584</v>
      </c>
      <c r="H342">
        <v>0.05</v>
      </c>
      <c r="I342">
        <v>0.08798034294661194</v>
      </c>
      <c r="J342" t="s">
        <v>358</v>
      </c>
      <c r="K342" t="s">
        <v>762</v>
      </c>
      <c r="L342">
        <v>1.2</v>
      </c>
      <c r="M342">
        <v>0.84</v>
      </c>
      <c r="N342">
        <v>0.7</v>
      </c>
      <c r="O342">
        <v>19</v>
      </c>
      <c r="P342">
        <v>0.05154749679728043</v>
      </c>
      <c r="Q342">
        <v>0.035677789132269</v>
      </c>
      <c r="R342" t="s">
        <v>765</v>
      </c>
      <c r="S342" t="s">
        <v>774</v>
      </c>
      <c r="T342">
        <v>4935.989283</v>
      </c>
      <c r="U342" s="2">
        <v>44422</v>
      </c>
      <c r="V342" t="s">
        <v>784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54.68</v>
      </c>
      <c r="D343">
        <v>56</v>
      </c>
      <c r="E343">
        <v>0.9764285714285714</v>
      </c>
      <c r="F343">
        <v>0.03749085588880761</v>
      </c>
      <c r="G343">
        <v>0.004782133854333459</v>
      </c>
      <c r="H343">
        <v>0.05</v>
      </c>
      <c r="I343">
        <v>0.08639458887673834</v>
      </c>
      <c r="J343" t="s">
        <v>358</v>
      </c>
      <c r="K343" t="s">
        <v>762</v>
      </c>
      <c r="L343">
        <v>3.1</v>
      </c>
      <c r="M343">
        <v>2.05</v>
      </c>
      <c r="N343">
        <v>0.6612903225806451</v>
      </c>
      <c r="O343">
        <v>6</v>
      </c>
      <c r="P343">
        <v>0.03202799005791723</v>
      </c>
      <c r="Q343">
        <v>-0.059946811427318</v>
      </c>
      <c r="R343" t="s">
        <v>765</v>
      </c>
      <c r="S343" t="s">
        <v>774</v>
      </c>
      <c r="T343">
        <v>142264.490439</v>
      </c>
      <c r="U343" s="2">
        <v>44400</v>
      </c>
      <c r="V343" t="s">
        <v>787</v>
      </c>
    </row>
    <row r="344" spans="1:22">
      <c r="A344" s="1" t="s">
        <v>364</v>
      </c>
      <c r="B344">
        <f>HYPERLINK("https://www.suredividend.com/sure-analysis-GPS/","Gap, Inc.")</f>
        <v>0</v>
      </c>
      <c r="C344">
        <v>24.15</v>
      </c>
      <c r="D344">
        <v>27.88</v>
      </c>
      <c r="E344">
        <v>0.8662123385939742</v>
      </c>
      <c r="F344">
        <v>0.01987577639751553</v>
      </c>
      <c r="G344">
        <v>0.02914158399137823</v>
      </c>
      <c r="H344">
        <v>0.04</v>
      </c>
      <c r="I344">
        <v>0.08504167093254478</v>
      </c>
      <c r="J344" t="s">
        <v>358</v>
      </c>
      <c r="K344" t="s">
        <v>498</v>
      </c>
      <c r="L344">
        <v>2.15</v>
      </c>
      <c r="M344">
        <v>0.48</v>
      </c>
      <c r="N344">
        <v>0.2232558139534884</v>
      </c>
      <c r="O344">
        <v>0</v>
      </c>
      <c r="P344">
        <v>0</v>
      </c>
      <c r="Q344">
        <v>0.473436719578008</v>
      </c>
      <c r="R344" t="s">
        <v>765</v>
      </c>
      <c r="S344" t="s">
        <v>775</v>
      </c>
      <c r="T344">
        <v>9097.981522</v>
      </c>
      <c r="U344" s="2">
        <v>44460</v>
      </c>
      <c r="V344" t="s">
        <v>786</v>
      </c>
    </row>
    <row r="345" spans="1:22">
      <c r="A345" s="1" t="s">
        <v>365</v>
      </c>
      <c r="B345">
        <f>HYPERLINK("https://www.suredividend.com/sure-analysis-OKE/","Oneok Inc.")</f>
        <v>0</v>
      </c>
      <c r="C345">
        <v>57.47</v>
      </c>
      <c r="D345">
        <v>57</v>
      </c>
      <c r="E345">
        <v>1.008245614035088</v>
      </c>
      <c r="F345">
        <v>0.06507743170349749</v>
      </c>
      <c r="G345">
        <v>-0.001641013000330149</v>
      </c>
      <c r="H345">
        <v>0.03</v>
      </c>
      <c r="I345">
        <v>0.08378692646452701</v>
      </c>
      <c r="J345" t="s">
        <v>358</v>
      </c>
      <c r="K345" t="s">
        <v>761</v>
      </c>
      <c r="L345">
        <v>5.15</v>
      </c>
      <c r="M345">
        <v>3.74</v>
      </c>
      <c r="N345">
        <v>0.7262135922330097</v>
      </c>
      <c r="O345">
        <v>18</v>
      </c>
      <c r="P345">
        <v>0.02003644710053942</v>
      </c>
      <c r="Q345">
        <v>1.561256647187565</v>
      </c>
      <c r="R345" t="s">
        <v>765</v>
      </c>
      <c r="S345" t="s">
        <v>778</v>
      </c>
      <c r="T345">
        <v>25607.676463</v>
      </c>
      <c r="U345" s="2">
        <v>44412</v>
      </c>
      <c r="V345" t="s">
        <v>783</v>
      </c>
    </row>
    <row r="346" spans="1:22">
      <c r="A346" s="1" t="s">
        <v>366</v>
      </c>
      <c r="B346">
        <f>HYPERLINK("https://www.suredividend.com/sure-analysis-IVZ/","Invesco Ltd")</f>
        <v>0</v>
      </c>
      <c r="C346">
        <v>24.83</v>
      </c>
      <c r="D346">
        <v>30</v>
      </c>
      <c r="E346">
        <v>0.8276666666666667</v>
      </c>
      <c r="F346">
        <v>0.02738622633910592</v>
      </c>
      <c r="G346">
        <v>0.03855357977215434</v>
      </c>
      <c r="H346">
        <v>0.02</v>
      </c>
      <c r="I346">
        <v>0.08179700553072156</v>
      </c>
      <c r="J346" t="s">
        <v>358</v>
      </c>
      <c r="K346" t="s">
        <v>498</v>
      </c>
      <c r="L346">
        <v>3</v>
      </c>
      <c r="M346">
        <v>0.68</v>
      </c>
      <c r="N346">
        <v>0.2266666666666667</v>
      </c>
      <c r="O346">
        <v>1</v>
      </c>
      <c r="P346">
        <v>0.02517111829582741</v>
      </c>
      <c r="Q346">
        <v>1.457549175707348</v>
      </c>
      <c r="R346" t="s">
        <v>765</v>
      </c>
      <c r="S346" t="s">
        <v>773</v>
      </c>
      <c r="T346">
        <v>11465.585832</v>
      </c>
      <c r="U346" s="2">
        <v>44410</v>
      </c>
      <c r="V346" t="s">
        <v>783</v>
      </c>
    </row>
    <row r="347" spans="1:22">
      <c r="A347" s="1" t="s">
        <v>367</v>
      </c>
      <c r="B347">
        <f>HYPERLINK("https://www.suredividend.com/sure-analysis-FCX/","Freeport-McMoRan Inc")</f>
        <v>0</v>
      </c>
      <c r="C347">
        <v>32.55</v>
      </c>
      <c r="D347">
        <v>38</v>
      </c>
      <c r="E347">
        <v>0.856578947368421</v>
      </c>
      <c r="F347">
        <v>0.009216589861751152</v>
      </c>
      <c r="G347">
        <v>0.03144605879322415</v>
      </c>
      <c r="H347">
        <v>0.04</v>
      </c>
      <c r="I347">
        <v>0.08087785525489544</v>
      </c>
      <c r="J347" t="s">
        <v>358</v>
      </c>
      <c r="K347" t="s">
        <v>763</v>
      </c>
      <c r="L347">
        <v>2.9</v>
      </c>
      <c r="M347">
        <v>0.3</v>
      </c>
      <c r="N347">
        <v>0.103448275862069</v>
      </c>
      <c r="O347">
        <v>0</v>
      </c>
      <c r="P347">
        <v>0.05922384104881218</v>
      </c>
      <c r="Q347">
        <v>1.183432837850702</v>
      </c>
      <c r="R347" t="s">
        <v>765</v>
      </c>
      <c r="S347" t="s">
        <v>771</v>
      </c>
      <c r="T347">
        <v>47139.547338</v>
      </c>
      <c r="U347" s="2">
        <v>44401</v>
      </c>
      <c r="V347" t="s">
        <v>785</v>
      </c>
    </row>
    <row r="348" spans="1:22">
      <c r="A348" s="1" t="s">
        <v>368</v>
      </c>
      <c r="B348">
        <f>HYPERLINK("https://www.suredividend.com/sure-analysis-BASFY/","Basf SE")</f>
        <v>0</v>
      </c>
      <c r="C348">
        <v>18.84</v>
      </c>
      <c r="D348">
        <v>19.6</v>
      </c>
      <c r="E348">
        <v>0.9612244897959182</v>
      </c>
      <c r="F348">
        <v>0.04989384288747346</v>
      </c>
      <c r="G348">
        <v>0.007940821823821054</v>
      </c>
      <c r="H348">
        <v>0.03</v>
      </c>
      <c r="I348">
        <v>0.08073142766487162</v>
      </c>
      <c r="J348" t="s">
        <v>358</v>
      </c>
      <c r="K348" t="s">
        <v>762</v>
      </c>
      <c r="L348">
        <v>1.51</v>
      </c>
      <c r="M348">
        <v>0.9399999999999999</v>
      </c>
      <c r="N348">
        <v>0.6225165562913907</v>
      </c>
      <c r="O348">
        <v>0</v>
      </c>
      <c r="P348">
        <v>0.02431988176177757</v>
      </c>
      <c r="Q348">
        <v>0.358719169190826</v>
      </c>
      <c r="R348" t="s">
        <v>765</v>
      </c>
      <c r="S348" t="s">
        <v>771</v>
      </c>
      <c r="T348">
        <v>69216.55438</v>
      </c>
      <c r="U348" s="2">
        <v>44406</v>
      </c>
      <c r="V348" t="s">
        <v>791</v>
      </c>
    </row>
    <row r="349" spans="1:22">
      <c r="A349" s="1" t="s">
        <v>369</v>
      </c>
      <c r="B349">
        <f>HYPERLINK("https://www.suredividend.com/sure-analysis-JBL/","Jabil Inc")</f>
        <v>0</v>
      </c>
      <c r="C349">
        <v>61.55</v>
      </c>
      <c r="D349">
        <v>63</v>
      </c>
      <c r="E349">
        <v>0.976984126984127</v>
      </c>
      <c r="F349">
        <v>0.00519902518277823</v>
      </c>
      <c r="G349">
        <v>0.00466783531170778</v>
      </c>
      <c r="H349">
        <v>0.07000000000000001</v>
      </c>
      <c r="I349">
        <v>0.07948529515060798</v>
      </c>
      <c r="J349" t="s">
        <v>358</v>
      </c>
      <c r="K349" t="s">
        <v>763</v>
      </c>
      <c r="L349">
        <v>5.5</v>
      </c>
      <c r="M349">
        <v>0.32</v>
      </c>
      <c r="N349">
        <v>0.05818181818181818</v>
      </c>
      <c r="O349">
        <v>0</v>
      </c>
      <c r="P349">
        <v>0.05081623913789235</v>
      </c>
      <c r="Q349">
        <v>0.9160288214615171</v>
      </c>
      <c r="R349" t="s">
        <v>765</v>
      </c>
      <c r="S349" t="s">
        <v>777</v>
      </c>
      <c r="T349">
        <v>8965.605652</v>
      </c>
      <c r="U349" s="2">
        <v>44369</v>
      </c>
      <c r="V349" t="s">
        <v>782</v>
      </c>
    </row>
    <row r="350" spans="1:22">
      <c r="A350" s="1" t="s">
        <v>370</v>
      </c>
      <c r="B350">
        <f>HYPERLINK("https://www.suredividend.com/sure-analysis-RCI/","Rogers Communications Inc.")</f>
        <v>0</v>
      </c>
      <c r="C350">
        <v>46.935</v>
      </c>
      <c r="D350">
        <v>47</v>
      </c>
      <c r="E350">
        <v>0.9986170212765958</v>
      </c>
      <c r="F350">
        <v>0.03408969851922872</v>
      </c>
      <c r="G350">
        <v>0.0002768254933276371</v>
      </c>
      <c r="H350">
        <v>0.05</v>
      </c>
      <c r="I350">
        <v>0.07924035579898292</v>
      </c>
      <c r="J350" t="s">
        <v>358</v>
      </c>
      <c r="K350" t="s">
        <v>762</v>
      </c>
      <c r="L350">
        <v>3.1</v>
      </c>
      <c r="M350">
        <v>1.6</v>
      </c>
      <c r="N350">
        <v>0.5161290322580645</v>
      </c>
      <c r="O350">
        <v>0</v>
      </c>
      <c r="P350">
        <v>0.02946206823925857</v>
      </c>
      <c r="Q350">
        <v>0.276301330837165</v>
      </c>
      <c r="R350" t="s">
        <v>765</v>
      </c>
      <c r="S350" t="s">
        <v>769</v>
      </c>
      <c r="T350">
        <v>18523.030505</v>
      </c>
      <c r="U350" s="2">
        <v>44398</v>
      </c>
      <c r="V350" t="s">
        <v>787</v>
      </c>
    </row>
    <row r="351" spans="1:22">
      <c r="A351" s="1" t="s">
        <v>371</v>
      </c>
      <c r="B351">
        <f>HYPERLINK("https://www.suredividend.com/sure-analysis-TM/","Toyota Motor Corporation")</f>
        <v>0</v>
      </c>
      <c r="C351">
        <v>182.945</v>
      </c>
      <c r="D351">
        <v>209</v>
      </c>
      <c r="E351">
        <v>0.8753349282296651</v>
      </c>
      <c r="F351">
        <v>0.02678400612205855</v>
      </c>
      <c r="G351">
        <v>0.0269874780733077</v>
      </c>
      <c r="H351">
        <v>0.03</v>
      </c>
      <c r="I351">
        <v>0.07837358462886845</v>
      </c>
      <c r="J351" t="s">
        <v>358</v>
      </c>
      <c r="K351" t="s">
        <v>498</v>
      </c>
      <c r="L351">
        <v>23.25</v>
      </c>
      <c r="M351">
        <v>4.9</v>
      </c>
      <c r="N351">
        <v>0.210752688172043</v>
      </c>
      <c r="O351">
        <v>2</v>
      </c>
      <c r="P351">
        <v>0</v>
      </c>
      <c r="Q351">
        <v>0.4143629138088981</v>
      </c>
      <c r="R351" t="s">
        <v>765</v>
      </c>
      <c r="S351" t="s">
        <v>775</v>
      </c>
      <c r="T351">
        <v>298221.655781</v>
      </c>
      <c r="U351" s="2">
        <v>44434</v>
      </c>
      <c r="V351" t="s">
        <v>783</v>
      </c>
    </row>
    <row r="352" spans="1:22">
      <c r="A352" s="1" t="s">
        <v>372</v>
      </c>
      <c r="B352">
        <f>HYPERLINK("https://www.suredividend.com/sure-analysis-GNTX/","Gentex Corp.")</f>
        <v>0</v>
      </c>
      <c r="C352">
        <v>32.745</v>
      </c>
      <c r="D352">
        <v>31</v>
      </c>
      <c r="E352">
        <v>1.056290322580645</v>
      </c>
      <c r="F352">
        <v>0.0146587265231333</v>
      </c>
      <c r="G352">
        <v>-0.01089285333166645</v>
      </c>
      <c r="H352">
        <v>0.075</v>
      </c>
      <c r="I352">
        <v>0.07700272665038832</v>
      </c>
      <c r="J352" t="s">
        <v>358</v>
      </c>
      <c r="K352" t="s">
        <v>498</v>
      </c>
      <c r="L352">
        <v>1.88</v>
      </c>
      <c r="M352">
        <v>0.48</v>
      </c>
      <c r="N352">
        <v>0.2553191489361702</v>
      </c>
      <c r="O352">
        <v>10</v>
      </c>
      <c r="P352">
        <v>0.06897294358221773</v>
      </c>
      <c r="Q352">
        <v>0.319493314567206</v>
      </c>
      <c r="R352" t="s">
        <v>765</v>
      </c>
      <c r="S352" t="s">
        <v>772</v>
      </c>
      <c r="T352">
        <v>7885.48464</v>
      </c>
      <c r="U352" s="2">
        <v>44403</v>
      </c>
      <c r="V352" t="s">
        <v>782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104.69</v>
      </c>
      <c r="D353">
        <v>108</v>
      </c>
      <c r="E353">
        <v>0.9693518518518518</v>
      </c>
      <c r="F353">
        <v>0.04393924921195912</v>
      </c>
      <c r="G353">
        <v>0.006244943815707948</v>
      </c>
      <c r="H353">
        <v>0.03</v>
      </c>
      <c r="I353">
        <v>0.07618034328092871</v>
      </c>
      <c r="J353" t="s">
        <v>358</v>
      </c>
      <c r="K353" t="s">
        <v>762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0.752536006710611</v>
      </c>
      <c r="R353" t="s">
        <v>765</v>
      </c>
      <c r="S353" t="s">
        <v>773</v>
      </c>
      <c r="T353">
        <v>39839.06</v>
      </c>
      <c r="U353" s="2">
        <v>44416</v>
      </c>
      <c r="V353" t="s">
        <v>784</v>
      </c>
    </row>
    <row r="354" spans="1:22">
      <c r="A354" s="1" t="s">
        <v>374</v>
      </c>
      <c r="B354">
        <f>HYPERLINK("https://www.suredividend.com/sure-analysis-KSS/","Kohl`s Corp.")</f>
        <v>0</v>
      </c>
      <c r="C354">
        <v>55.71</v>
      </c>
      <c r="D354">
        <v>74</v>
      </c>
      <c r="E354">
        <v>0.7528378378378379</v>
      </c>
      <c r="F354">
        <v>0.01795009872554299</v>
      </c>
      <c r="G354">
        <v>0.05842408100734064</v>
      </c>
      <c r="H354">
        <v>0</v>
      </c>
      <c r="I354">
        <v>0.07596292790097392</v>
      </c>
      <c r="J354" t="s">
        <v>358</v>
      </c>
      <c r="K354" t="s">
        <v>498</v>
      </c>
      <c r="L354">
        <v>6.15</v>
      </c>
      <c r="M354">
        <v>1</v>
      </c>
      <c r="N354">
        <v>0.1626016260162602</v>
      </c>
      <c r="O354">
        <v>0</v>
      </c>
      <c r="P354">
        <v>0.08009875865888949</v>
      </c>
      <c r="Q354">
        <v>1.771590323210379</v>
      </c>
      <c r="R354" t="s">
        <v>765</v>
      </c>
      <c r="S354" t="s">
        <v>775</v>
      </c>
      <c r="T354">
        <v>8335.079817</v>
      </c>
      <c r="U354" s="2">
        <v>44436</v>
      </c>
      <c r="V354" t="s">
        <v>785</v>
      </c>
    </row>
    <row r="355" spans="1:22">
      <c r="A355" s="1" t="s">
        <v>375</v>
      </c>
      <c r="B355">
        <f>HYPERLINK("https://www.suredividend.com/sure-analysis-CCI/","Crown Castle International Corp")</f>
        <v>0</v>
      </c>
      <c r="C355">
        <v>182</v>
      </c>
      <c r="D355">
        <v>164</v>
      </c>
      <c r="E355">
        <v>1.109756097560976</v>
      </c>
      <c r="F355">
        <v>0.02923076923076923</v>
      </c>
      <c r="G355">
        <v>-0.0206126460649414</v>
      </c>
      <c r="H355">
        <v>0.07000000000000001</v>
      </c>
      <c r="I355">
        <v>0.07467117867738016</v>
      </c>
      <c r="J355" t="s">
        <v>358</v>
      </c>
      <c r="K355" t="s">
        <v>358</v>
      </c>
      <c r="L355">
        <v>6.85</v>
      </c>
      <c r="M355">
        <v>5.32</v>
      </c>
      <c r="N355">
        <v>0.7766423357664234</v>
      </c>
      <c r="O355">
        <v>7</v>
      </c>
      <c r="P355">
        <v>0.05000563166277994</v>
      </c>
      <c r="Q355">
        <v>0.221665815158436</v>
      </c>
      <c r="R355" t="s">
        <v>767</v>
      </c>
      <c r="S355" t="s">
        <v>779</v>
      </c>
      <c r="T355">
        <v>79679.719086</v>
      </c>
      <c r="U355" s="2">
        <v>44400</v>
      </c>
      <c r="V355" t="s">
        <v>785</v>
      </c>
    </row>
    <row r="356" spans="1:22">
      <c r="A356" s="1" t="s">
        <v>376</v>
      </c>
      <c r="B356">
        <f>HYPERLINK("https://www.suredividend.com/sure-analysis-RGA/","Reinsurance Group Of America, Inc.")</f>
        <v>0</v>
      </c>
      <c r="C356">
        <v>111.355</v>
      </c>
      <c r="D356">
        <v>105</v>
      </c>
      <c r="E356">
        <v>1.06052380952381</v>
      </c>
      <c r="F356">
        <v>0.02622244174037986</v>
      </c>
      <c r="G356">
        <v>-0.01168379728073343</v>
      </c>
      <c r="H356">
        <v>0.06</v>
      </c>
      <c r="I356">
        <v>0.07458254020318322</v>
      </c>
      <c r="J356" t="s">
        <v>358</v>
      </c>
      <c r="K356" t="s">
        <v>498</v>
      </c>
      <c r="L356">
        <v>9.15</v>
      </c>
      <c r="M356">
        <v>2.92</v>
      </c>
      <c r="N356">
        <v>0.3191256830601092</v>
      </c>
      <c r="O356">
        <v>12</v>
      </c>
      <c r="P356">
        <v>0.08986498009382693</v>
      </c>
      <c r="Q356">
        <v>0.224491151838896</v>
      </c>
      <c r="R356" t="s">
        <v>765</v>
      </c>
      <c r="S356" t="s">
        <v>773</v>
      </c>
      <c r="T356">
        <v>7519.101293</v>
      </c>
      <c r="U356" s="2">
        <v>44413</v>
      </c>
      <c r="V356" t="s">
        <v>782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31.95</v>
      </c>
      <c r="D357">
        <v>35</v>
      </c>
      <c r="E357">
        <v>0.9128571428571428</v>
      </c>
      <c r="F357">
        <v>0.02410015649452269</v>
      </c>
      <c r="G357">
        <v>0.01840245217991354</v>
      </c>
      <c r="H357">
        <v>0.03</v>
      </c>
      <c r="I357">
        <v>0.07442288029406163</v>
      </c>
      <c r="J357" t="s">
        <v>358</v>
      </c>
      <c r="K357" t="s">
        <v>498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0.3648013669372061</v>
      </c>
      <c r="R357" t="s">
        <v>765</v>
      </c>
      <c r="S357" t="s">
        <v>775</v>
      </c>
      <c r="T357">
        <v>57701.239537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HYPERLINK("https://www.suredividend.com/sure-analysis-GIS/","General Mills, Inc.")</f>
        <v>0</v>
      </c>
      <c r="C358">
        <v>60.41</v>
      </c>
      <c r="D358">
        <v>65</v>
      </c>
      <c r="E358">
        <v>0.9293846153846154</v>
      </c>
      <c r="F358">
        <v>0.03476245654692932</v>
      </c>
      <c r="G358">
        <v>0.01475430905585529</v>
      </c>
      <c r="H358">
        <v>0.03</v>
      </c>
      <c r="I358">
        <v>0.07430290299047138</v>
      </c>
      <c r="J358" t="s">
        <v>358</v>
      </c>
      <c r="K358" t="s">
        <v>762</v>
      </c>
      <c r="L358">
        <v>3.8</v>
      </c>
      <c r="M358">
        <v>2.1</v>
      </c>
      <c r="N358">
        <v>0.5526315789473685</v>
      </c>
      <c r="O358">
        <v>1</v>
      </c>
      <c r="P358">
        <v>0.0183608813392091</v>
      </c>
      <c r="Q358">
        <v>0.07116265928391301</v>
      </c>
      <c r="R358" t="s">
        <v>765</v>
      </c>
      <c r="S358" t="s">
        <v>774</v>
      </c>
      <c r="T358">
        <v>36546.393233</v>
      </c>
      <c r="U358" s="2">
        <v>44461</v>
      </c>
      <c r="V358" t="s">
        <v>787</v>
      </c>
    </row>
    <row r="359" spans="1:22">
      <c r="A359" s="1" t="s">
        <v>379</v>
      </c>
      <c r="B359">
        <f>HYPERLINK("https://www.suredividend.com/sure-analysis-UHT/","Universal Health Realty Income Trust")</f>
        <v>0</v>
      </c>
      <c r="C359">
        <v>57.05</v>
      </c>
      <c r="D359">
        <v>58</v>
      </c>
      <c r="E359">
        <v>0.9836206896551724</v>
      </c>
      <c r="F359">
        <v>0.049079754601227</v>
      </c>
      <c r="G359">
        <v>0.00330844771946559</v>
      </c>
      <c r="H359">
        <v>0.03</v>
      </c>
      <c r="I359">
        <v>0.07419349624375049</v>
      </c>
      <c r="J359" t="s">
        <v>358</v>
      </c>
      <c r="K359" t="s">
        <v>761</v>
      </c>
      <c r="L359">
        <v>3.35</v>
      </c>
      <c r="M359">
        <v>2.8</v>
      </c>
      <c r="N359">
        <v>0.835820895522388</v>
      </c>
      <c r="O359">
        <v>36</v>
      </c>
      <c r="P359">
        <v>0.008428158438618549</v>
      </c>
      <c r="Q359">
        <v>0.112151538206433</v>
      </c>
      <c r="R359" t="s">
        <v>767</v>
      </c>
      <c r="S359" t="s">
        <v>779</v>
      </c>
      <c r="T359">
        <v>785.148105</v>
      </c>
      <c r="U359" s="2">
        <v>44411</v>
      </c>
      <c r="V359" t="s">
        <v>790</v>
      </c>
    </row>
    <row r="360" spans="1:22">
      <c r="A360" s="1" t="s">
        <v>380</v>
      </c>
      <c r="B360">
        <f>HYPERLINK("https://www.suredividend.com/sure-analysis-AEP/","American Electric Power Company Inc.")</f>
        <v>0</v>
      </c>
      <c r="C360">
        <v>82.15000000000001</v>
      </c>
      <c r="D360">
        <v>79.40000000000001</v>
      </c>
      <c r="E360">
        <v>1.03463476070529</v>
      </c>
      <c r="F360">
        <v>0.03603164942178941</v>
      </c>
      <c r="G360">
        <v>-0.006786561811696235</v>
      </c>
      <c r="H360">
        <v>0.05</v>
      </c>
      <c r="I360">
        <v>0.07418431145909743</v>
      </c>
      <c r="J360" t="s">
        <v>358</v>
      </c>
      <c r="K360" t="s">
        <v>762</v>
      </c>
      <c r="L360">
        <v>4.67</v>
      </c>
      <c r="M360">
        <v>2.96</v>
      </c>
      <c r="N360">
        <v>0.6338329764453962</v>
      </c>
      <c r="O360">
        <v>16</v>
      </c>
      <c r="P360">
        <v>0.02931162806503518</v>
      </c>
      <c r="Q360">
        <v>0.075591993758926</v>
      </c>
      <c r="R360" t="s">
        <v>765</v>
      </c>
      <c r="S360" t="s">
        <v>776</v>
      </c>
      <c r="T360">
        <v>41175.687713</v>
      </c>
      <c r="U360" s="2">
        <v>44415</v>
      </c>
      <c r="V360" t="s">
        <v>790</v>
      </c>
    </row>
    <row r="361" spans="1:22">
      <c r="A361" s="1" t="s">
        <v>381</v>
      </c>
      <c r="B361">
        <f>HYPERLINK("https://www.suredividend.com/sure-analysis-BK/","Bank Of New York Mellon Corp")</f>
        <v>0</v>
      </c>
      <c r="C361">
        <v>52.08</v>
      </c>
      <c r="D361">
        <v>49</v>
      </c>
      <c r="E361">
        <v>1.062857142857143</v>
      </c>
      <c r="F361">
        <v>0.0261136712749616</v>
      </c>
      <c r="G361">
        <v>-0.01211811695788712</v>
      </c>
      <c r="H361">
        <v>0.06</v>
      </c>
      <c r="I361">
        <v>0.07191103193057824</v>
      </c>
      <c r="J361" t="s">
        <v>358</v>
      </c>
      <c r="K361" t="s">
        <v>498</v>
      </c>
      <c r="L361">
        <v>4.05</v>
      </c>
      <c r="M361">
        <v>1.36</v>
      </c>
      <c r="N361">
        <v>0.3358024691358025</v>
      </c>
      <c r="O361">
        <v>11</v>
      </c>
      <c r="P361">
        <v>0.06000153927394081</v>
      </c>
      <c r="Q361">
        <v>0.595108746151606</v>
      </c>
      <c r="R361" t="s">
        <v>765</v>
      </c>
      <c r="S361" t="s">
        <v>773</v>
      </c>
      <c r="T361">
        <v>44453.444417</v>
      </c>
      <c r="U361" s="2">
        <v>44395</v>
      </c>
      <c r="V361" t="s">
        <v>785</v>
      </c>
    </row>
    <row r="362" spans="1:22">
      <c r="A362" s="1" t="s">
        <v>382</v>
      </c>
      <c r="B362">
        <f>HYPERLINK("https://www.suredividend.com/sure-analysis-SYF/","Synchrony Financial")</f>
        <v>0</v>
      </c>
      <c r="C362">
        <v>50.665</v>
      </c>
      <c r="D362">
        <v>57</v>
      </c>
      <c r="E362">
        <v>0.888859649122807</v>
      </c>
      <c r="F362">
        <v>0.01736899240106583</v>
      </c>
      <c r="G362">
        <v>0.02384299143739477</v>
      </c>
      <c r="H362">
        <v>0.03</v>
      </c>
      <c r="I362">
        <v>0.0708514766158177</v>
      </c>
      <c r="J362" t="s">
        <v>358</v>
      </c>
      <c r="K362" t="s">
        <v>498</v>
      </c>
      <c r="L362">
        <v>6.3</v>
      </c>
      <c r="M362">
        <v>0.88</v>
      </c>
      <c r="N362">
        <v>0.1396825396825397</v>
      </c>
      <c r="O362">
        <v>4</v>
      </c>
      <c r="P362">
        <v>0.06042477819475911</v>
      </c>
      <c r="Q362">
        <v>1.034534841000939</v>
      </c>
      <c r="R362" t="s">
        <v>765</v>
      </c>
      <c r="S362" t="s">
        <v>773</v>
      </c>
      <c r="T362">
        <v>28393.803941</v>
      </c>
      <c r="U362" s="2">
        <v>44404</v>
      </c>
      <c r="V362" t="s">
        <v>783</v>
      </c>
    </row>
    <row r="363" spans="1:22">
      <c r="A363" s="1" t="s">
        <v>383</v>
      </c>
      <c r="B363">
        <f>HYPERLINK("https://www.suredividend.com/sure-analysis-DFS/","Discover Financial Services")</f>
        <v>0</v>
      </c>
      <c r="C363">
        <v>130.34</v>
      </c>
      <c r="D363">
        <v>148</v>
      </c>
      <c r="E363">
        <v>0.8806756756756757</v>
      </c>
      <c r="F363">
        <v>0.0153444836581249</v>
      </c>
      <c r="G363">
        <v>0.02573883808701782</v>
      </c>
      <c r="H363">
        <v>0.03</v>
      </c>
      <c r="I363">
        <v>0.07084675455407652</v>
      </c>
      <c r="J363" t="s">
        <v>358</v>
      </c>
      <c r="K363" t="s">
        <v>498</v>
      </c>
      <c r="L363">
        <v>15.6</v>
      </c>
      <c r="M363">
        <v>2</v>
      </c>
      <c r="N363">
        <v>0.1282051282051282</v>
      </c>
      <c r="O363">
        <v>10</v>
      </c>
      <c r="P363">
        <v>0.0602809527753625</v>
      </c>
      <c r="Q363">
        <v>1.452641806803054</v>
      </c>
      <c r="R363" t="s">
        <v>765</v>
      </c>
      <c r="S363" t="s">
        <v>773</v>
      </c>
      <c r="T363">
        <v>38400.838061</v>
      </c>
      <c r="U363" s="2">
        <v>44403</v>
      </c>
      <c r="V363" t="s">
        <v>783</v>
      </c>
    </row>
    <row r="364" spans="1:22">
      <c r="A364" s="1" t="s">
        <v>384</v>
      </c>
      <c r="B364">
        <f>HYPERLINK("https://www.suredividend.com/sure-analysis-CPB/","Campbell Soup Co.")</f>
        <v>0</v>
      </c>
      <c r="C364">
        <v>42.55</v>
      </c>
      <c r="D364">
        <v>46</v>
      </c>
      <c r="E364">
        <v>0.9249999999999999</v>
      </c>
      <c r="F364">
        <v>0.03478260869565217</v>
      </c>
      <c r="G364">
        <v>0.01571450260395091</v>
      </c>
      <c r="H364">
        <v>0.025</v>
      </c>
      <c r="I364">
        <v>0.07033344890100723</v>
      </c>
      <c r="J364" t="s">
        <v>358</v>
      </c>
      <c r="K364" t="s">
        <v>762</v>
      </c>
      <c r="L364">
        <v>2.8</v>
      </c>
      <c r="M364">
        <v>1.48</v>
      </c>
      <c r="N364">
        <v>0.5285714285714286</v>
      </c>
      <c r="O364">
        <v>0</v>
      </c>
      <c r="P364">
        <v>0.01444167341264735</v>
      </c>
      <c r="Q364">
        <v>-0.03515477915587401</v>
      </c>
      <c r="R364" t="s">
        <v>765</v>
      </c>
      <c r="S364" t="s">
        <v>774</v>
      </c>
      <c r="T364">
        <v>12813.016913</v>
      </c>
      <c r="U364" s="2">
        <v>44453</v>
      </c>
      <c r="V364" t="s">
        <v>782</v>
      </c>
    </row>
    <row r="365" spans="1:22">
      <c r="A365" s="1" t="s">
        <v>385</v>
      </c>
      <c r="B365">
        <f>HYPERLINK("https://www.suredividend.com/sure-analysis-XOM/","Exxon Mobil Corp.")</f>
        <v>0</v>
      </c>
      <c r="C365">
        <v>57.47</v>
      </c>
      <c r="D365">
        <v>47</v>
      </c>
      <c r="E365">
        <v>1.222765957446808</v>
      </c>
      <c r="F365">
        <v>0.06055333217330781</v>
      </c>
      <c r="G365">
        <v>-0.0394248834544344</v>
      </c>
      <c r="H365">
        <v>0.06</v>
      </c>
      <c r="I365">
        <v>0.07013358133877423</v>
      </c>
      <c r="J365" t="s">
        <v>358</v>
      </c>
      <c r="K365" t="s">
        <v>761</v>
      </c>
      <c r="L365">
        <v>3.6</v>
      </c>
      <c r="M365">
        <v>3.48</v>
      </c>
      <c r="N365">
        <v>0.9666666666666667</v>
      </c>
      <c r="O365">
        <v>38</v>
      </c>
      <c r="P365">
        <v>0.006803348678863008</v>
      </c>
      <c r="Q365">
        <v>0.7804283882881</v>
      </c>
      <c r="R365" t="s">
        <v>765</v>
      </c>
      <c r="S365" t="s">
        <v>778</v>
      </c>
      <c r="T365">
        <v>241651.771302</v>
      </c>
      <c r="U365" s="2">
        <v>44425</v>
      </c>
      <c r="V365" t="s">
        <v>787</v>
      </c>
    </row>
    <row r="366" spans="1:22">
      <c r="A366" s="1" t="s">
        <v>386</v>
      </c>
      <c r="B366">
        <f>HYPERLINK("https://www.suredividend.com/sure-analysis-CFG/","Citizens Financial Group Inc")</f>
        <v>0</v>
      </c>
      <c r="C366">
        <v>45.63</v>
      </c>
      <c r="D366">
        <v>59</v>
      </c>
      <c r="E366">
        <v>0.7733898305084747</v>
      </c>
      <c r="F366">
        <v>0.03418803418803418</v>
      </c>
      <c r="G366">
        <v>0.05273802159796426</v>
      </c>
      <c r="H366">
        <v>-0.02</v>
      </c>
      <c r="I366">
        <v>0.06934001502635234</v>
      </c>
      <c r="J366" t="s">
        <v>358</v>
      </c>
      <c r="K366" t="s">
        <v>358</v>
      </c>
      <c r="L366">
        <v>5.15</v>
      </c>
      <c r="M366">
        <v>1.56</v>
      </c>
      <c r="N366">
        <v>0.3029126213592233</v>
      </c>
      <c r="O366">
        <v>6</v>
      </c>
      <c r="P366">
        <v>0.09979014724923641</v>
      </c>
      <c r="Q366">
        <v>0.955883761636463</v>
      </c>
      <c r="R366" t="s">
        <v>765</v>
      </c>
      <c r="S366" t="s">
        <v>773</v>
      </c>
      <c r="T366">
        <v>19139.654963</v>
      </c>
      <c r="U366" s="2">
        <v>44398</v>
      </c>
      <c r="V366" t="s">
        <v>785</v>
      </c>
    </row>
    <row r="367" spans="1:22">
      <c r="A367" s="1" t="s">
        <v>387</v>
      </c>
      <c r="B367">
        <f>HYPERLINK("https://www.suredividend.com/sure-analysis-O/","Realty Income Corp.")</f>
        <v>0</v>
      </c>
      <c r="C367">
        <v>67.20999999999999</v>
      </c>
      <c r="D367">
        <v>64</v>
      </c>
      <c r="E367">
        <v>1.05015625</v>
      </c>
      <c r="F367">
        <v>0.0421068293408719</v>
      </c>
      <c r="G367">
        <v>-0.009740047981388722</v>
      </c>
      <c r="H367">
        <v>0.04</v>
      </c>
      <c r="I367">
        <v>0.06841505870688613</v>
      </c>
      <c r="J367" t="s">
        <v>358</v>
      </c>
      <c r="K367" t="s">
        <v>762</v>
      </c>
      <c r="L367">
        <v>3.56</v>
      </c>
      <c r="M367">
        <v>2.83</v>
      </c>
      <c r="N367">
        <v>0.7949438202247191</v>
      </c>
      <c r="O367">
        <v>26</v>
      </c>
      <c r="P367">
        <v>0.03492902808124509</v>
      </c>
      <c r="Q367">
        <v>0.199609923241247</v>
      </c>
      <c r="R367" t="s">
        <v>767</v>
      </c>
      <c r="S367" t="s">
        <v>779</v>
      </c>
      <c r="T367">
        <v>26392.738025</v>
      </c>
      <c r="U367" s="2">
        <v>44415</v>
      </c>
      <c r="V367" t="s">
        <v>783</v>
      </c>
    </row>
    <row r="368" spans="1:22">
      <c r="A368" s="1" t="s">
        <v>388</v>
      </c>
      <c r="B368">
        <f>HYPERLINK("https://www.suredividend.com/sure-analysis-MGA/","Magna International Inc.")</f>
        <v>0</v>
      </c>
      <c r="C368">
        <v>77.75</v>
      </c>
      <c r="D368">
        <v>69</v>
      </c>
      <c r="E368">
        <v>1.126811594202898</v>
      </c>
      <c r="F368">
        <v>0.02212218649517685</v>
      </c>
      <c r="G368">
        <v>-0.02359557575469484</v>
      </c>
      <c r="H368">
        <v>0.07000000000000001</v>
      </c>
      <c r="I368">
        <v>0.06697919567122224</v>
      </c>
      <c r="J368" t="s">
        <v>358</v>
      </c>
      <c r="K368" t="s">
        <v>498</v>
      </c>
      <c r="L368">
        <v>6.87</v>
      </c>
      <c r="M368">
        <v>1.72</v>
      </c>
      <c r="N368">
        <v>0.2503639010189229</v>
      </c>
      <c r="O368">
        <v>11</v>
      </c>
      <c r="P368">
        <v>0.0750624704770988</v>
      </c>
      <c r="Q368">
        <v>0.7977580030047381</v>
      </c>
      <c r="R368" t="s">
        <v>765</v>
      </c>
      <c r="S368" t="s">
        <v>775</v>
      </c>
      <c r="T368">
        <v>23389.791127</v>
      </c>
      <c r="U368" s="2">
        <v>44428</v>
      </c>
      <c r="V368" t="s">
        <v>789</v>
      </c>
    </row>
    <row r="369" spans="1:22">
      <c r="A369" s="1" t="s">
        <v>389</v>
      </c>
      <c r="B369">
        <f>HYPERLINK("https://www.suredividend.com/sure-analysis-SVC/","Service Properties Trust")</f>
        <v>0</v>
      </c>
      <c r="C369">
        <v>11.35</v>
      </c>
      <c r="D369">
        <v>14</v>
      </c>
      <c r="E369">
        <v>0.8107142857142857</v>
      </c>
      <c r="F369">
        <v>0.003524229074889868</v>
      </c>
      <c r="G369">
        <v>0.04286102024739691</v>
      </c>
      <c r="H369">
        <v>0.02</v>
      </c>
      <c r="I369">
        <v>0.06645679594062348</v>
      </c>
      <c r="J369" t="s">
        <v>358</v>
      </c>
      <c r="K369" t="s">
        <v>763</v>
      </c>
      <c r="L369">
        <v>0.3</v>
      </c>
      <c r="M369">
        <v>0.04</v>
      </c>
      <c r="N369">
        <v>0.1333333333333333</v>
      </c>
      <c r="O369">
        <v>0</v>
      </c>
      <c r="P369">
        <v>0</v>
      </c>
      <c r="Q369">
        <v>0.599067795420404</v>
      </c>
      <c r="R369" t="s">
        <v>767</v>
      </c>
      <c r="S369" t="s">
        <v>779</v>
      </c>
      <c r="T369">
        <v>1877.729818</v>
      </c>
      <c r="U369" s="2">
        <v>44435</v>
      </c>
      <c r="V369" t="s">
        <v>783</v>
      </c>
    </row>
    <row r="370" spans="1:22">
      <c r="A370" s="1" t="s">
        <v>390</v>
      </c>
      <c r="B370">
        <f>HYPERLINK("https://www.suredividend.com/sure-analysis-CVX/","Chevron Corp.")</f>
        <v>0</v>
      </c>
      <c r="C370">
        <v>100.735</v>
      </c>
      <c r="D370">
        <v>76</v>
      </c>
      <c r="E370">
        <v>1.325460526315789</v>
      </c>
      <c r="F370">
        <v>0.05271256266441653</v>
      </c>
      <c r="G370">
        <v>-0.05479362890228057</v>
      </c>
      <c r="H370">
        <v>0.08</v>
      </c>
      <c r="I370">
        <v>0.06618659431704854</v>
      </c>
      <c r="J370" t="s">
        <v>358</v>
      </c>
      <c r="K370" t="s">
        <v>762</v>
      </c>
      <c r="L370">
        <v>5.4</v>
      </c>
      <c r="M370">
        <v>5.31</v>
      </c>
      <c r="N370">
        <v>0.9833333333333332</v>
      </c>
      <c r="O370">
        <v>34</v>
      </c>
      <c r="P370">
        <v>0.00705602868275168</v>
      </c>
      <c r="Q370">
        <v>0.44768386496579</v>
      </c>
      <c r="R370" t="s">
        <v>765</v>
      </c>
      <c r="S370" t="s">
        <v>778</v>
      </c>
      <c r="T370">
        <v>193507.229117</v>
      </c>
      <c r="U370" s="2">
        <v>44425</v>
      </c>
      <c r="V370" t="s">
        <v>787</v>
      </c>
    </row>
    <row r="371" spans="1:22">
      <c r="A371" s="1" t="s">
        <v>391</v>
      </c>
      <c r="B371">
        <f>HYPERLINK("https://www.suredividend.com/sure-analysis-KEY/","Keycorp")</f>
        <v>0</v>
      </c>
      <c r="C371">
        <v>21.29</v>
      </c>
      <c r="D371">
        <v>25</v>
      </c>
      <c r="E371">
        <v>0.8515999999999999</v>
      </c>
      <c r="F371">
        <v>0.03475810239549084</v>
      </c>
      <c r="G371">
        <v>0.03264933439640516</v>
      </c>
      <c r="H371">
        <v>0</v>
      </c>
      <c r="I371">
        <v>0.06581467188950452</v>
      </c>
      <c r="J371" t="s">
        <v>358</v>
      </c>
      <c r="K371" t="s">
        <v>358</v>
      </c>
      <c r="L371">
        <v>2.3</v>
      </c>
      <c r="M371">
        <v>0.74</v>
      </c>
      <c r="N371">
        <v>0.3217391304347826</v>
      </c>
      <c r="O371">
        <v>10</v>
      </c>
      <c r="P371">
        <v>0.04900903024942593</v>
      </c>
      <c r="Q371">
        <v>0.886588756038973</v>
      </c>
      <c r="R371" t="s">
        <v>765</v>
      </c>
      <c r="S371" t="s">
        <v>773</v>
      </c>
      <c r="T371">
        <v>20055.081039</v>
      </c>
      <c r="U371" s="2">
        <v>44397</v>
      </c>
      <c r="V371" t="s">
        <v>784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30.48</v>
      </c>
      <c r="D372">
        <v>30</v>
      </c>
      <c r="E372">
        <v>1.016</v>
      </c>
      <c r="F372">
        <v>0.03412073490813648</v>
      </c>
      <c r="G372">
        <v>-0.003169635895426293</v>
      </c>
      <c r="H372">
        <v>0.04</v>
      </c>
      <c r="I372">
        <v>0.06469044944854629</v>
      </c>
      <c r="J372" t="s">
        <v>358</v>
      </c>
      <c r="K372" t="s">
        <v>762</v>
      </c>
      <c r="L372">
        <v>2</v>
      </c>
      <c r="M372">
        <v>1.04</v>
      </c>
      <c r="N372">
        <v>0.52</v>
      </c>
      <c r="O372">
        <v>0</v>
      </c>
      <c r="P372">
        <v>0</v>
      </c>
      <c r="Q372">
        <v>0.399969615917576</v>
      </c>
      <c r="R372" t="s">
        <v>765</v>
      </c>
      <c r="S372" t="s">
        <v>770</v>
      </c>
      <c r="T372">
        <v>2959.56202</v>
      </c>
      <c r="U372" s="2">
        <v>44446</v>
      </c>
      <c r="V372" t="s">
        <v>788</v>
      </c>
    </row>
    <row r="373" spans="1:22">
      <c r="A373" s="1" t="s">
        <v>393</v>
      </c>
      <c r="B373">
        <f>HYPERLINK("https://www.suredividend.com/sure-analysis-AGM/","Federal Agricultural Mortgage Corp.")</f>
        <v>0</v>
      </c>
      <c r="C373">
        <v>104.92</v>
      </c>
      <c r="D373">
        <v>88</v>
      </c>
      <c r="E373">
        <v>1.192272727272727</v>
      </c>
      <c r="F373">
        <v>0.0335493709492947</v>
      </c>
      <c r="G373">
        <v>-0.03456091242981929</v>
      </c>
      <c r="H373">
        <v>0.065</v>
      </c>
      <c r="I373">
        <v>0.06368551842399928</v>
      </c>
      <c r="J373" t="s">
        <v>358</v>
      </c>
      <c r="K373" t="s">
        <v>358</v>
      </c>
      <c r="L373">
        <v>10.39</v>
      </c>
      <c r="M373">
        <v>3.52</v>
      </c>
      <c r="N373">
        <v>0.3387872954764196</v>
      </c>
      <c r="O373">
        <v>10</v>
      </c>
      <c r="P373">
        <v>0.0799150058822331</v>
      </c>
      <c r="Q373">
        <v>0.735021552442054</v>
      </c>
      <c r="R373" t="s">
        <v>765</v>
      </c>
      <c r="S373" t="s">
        <v>773</v>
      </c>
      <c r="T373">
        <v>1062.860403</v>
      </c>
      <c r="U373" s="2">
        <v>44417</v>
      </c>
      <c r="V373" t="s">
        <v>782</v>
      </c>
    </row>
    <row r="374" spans="1:22">
      <c r="A374" s="1" t="s">
        <v>394</v>
      </c>
      <c r="B374">
        <f>HYPERLINK("https://www.suredividend.com/sure-analysis-KLAC/","KLA Corp.")</f>
        <v>0</v>
      </c>
      <c r="C374">
        <v>370.14</v>
      </c>
      <c r="D374">
        <v>323</v>
      </c>
      <c r="E374">
        <v>1.14594427244582</v>
      </c>
      <c r="F374">
        <v>0.01134705786999514</v>
      </c>
      <c r="G374">
        <v>-0.0268779791704451</v>
      </c>
      <c r="H374">
        <v>0.08</v>
      </c>
      <c r="I374">
        <v>0.06317239613653514</v>
      </c>
      <c r="J374" t="s">
        <v>358</v>
      </c>
      <c r="K374" t="s">
        <v>498</v>
      </c>
      <c r="L374">
        <v>19</v>
      </c>
      <c r="M374">
        <v>4.2</v>
      </c>
      <c r="N374">
        <v>0.2210526315789474</v>
      </c>
      <c r="O374">
        <v>12</v>
      </c>
      <c r="P374">
        <v>0.09986525071768737</v>
      </c>
      <c r="Q374">
        <v>1.078497484658349</v>
      </c>
      <c r="R374" t="s">
        <v>765</v>
      </c>
      <c r="S374" t="s">
        <v>777</v>
      </c>
      <c r="T374">
        <v>56662.430504</v>
      </c>
      <c r="U374" s="2">
        <v>44417</v>
      </c>
      <c r="V374" t="s">
        <v>783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22.5</v>
      </c>
      <c r="D375">
        <v>26</v>
      </c>
      <c r="E375">
        <v>0.8653846153846154</v>
      </c>
      <c r="F375">
        <v>0.02844444444444445</v>
      </c>
      <c r="G375">
        <v>0.02933837941335882</v>
      </c>
      <c r="H375">
        <v>0.01</v>
      </c>
      <c r="I375">
        <v>0.06291422647180345</v>
      </c>
      <c r="J375" t="s">
        <v>358</v>
      </c>
      <c r="K375" t="s">
        <v>358</v>
      </c>
      <c r="L375">
        <v>4.25</v>
      </c>
      <c r="M375">
        <v>0.64</v>
      </c>
      <c r="N375">
        <v>0.1505882352941177</v>
      </c>
      <c r="O375">
        <v>0</v>
      </c>
      <c r="P375">
        <v>0</v>
      </c>
      <c r="Q375">
        <v>2.097394299683316</v>
      </c>
      <c r="R375" t="s">
        <v>765</v>
      </c>
      <c r="S375" t="s">
        <v>773</v>
      </c>
      <c r="T375">
        <v>3742.836192</v>
      </c>
      <c r="U375" s="2">
        <v>44410</v>
      </c>
      <c r="V375" t="s">
        <v>783</v>
      </c>
    </row>
    <row r="376" spans="1:22">
      <c r="A376" s="1" t="s">
        <v>396</v>
      </c>
      <c r="B376">
        <f>HYPERLINK("https://www.suredividend.com/sure-analysis-NLSN/","Nielsen Holdings plc")</f>
        <v>0</v>
      </c>
      <c r="C376">
        <v>19.9</v>
      </c>
      <c r="D376">
        <v>22</v>
      </c>
      <c r="E376">
        <v>0.9045454545454544</v>
      </c>
      <c r="F376">
        <v>0.01206030150753769</v>
      </c>
      <c r="G376">
        <v>0.02026719035930724</v>
      </c>
      <c r="H376">
        <v>0.03</v>
      </c>
      <c r="I376">
        <v>0.06196686973980925</v>
      </c>
      <c r="J376" t="s">
        <v>358</v>
      </c>
      <c r="K376" t="s">
        <v>763</v>
      </c>
      <c r="L376">
        <v>1.58</v>
      </c>
      <c r="M376">
        <v>0.24</v>
      </c>
      <c r="N376">
        <v>0.1518987341772152</v>
      </c>
      <c r="O376">
        <v>0</v>
      </c>
      <c r="P376">
        <v>0.04563955259127317</v>
      </c>
      <c r="Q376">
        <v>0.486123545210385</v>
      </c>
      <c r="R376" t="s">
        <v>765</v>
      </c>
      <c r="S376" t="s">
        <v>772</v>
      </c>
      <c r="T376">
        <v>7147.298968</v>
      </c>
      <c r="U376" s="2">
        <v>44462</v>
      </c>
      <c r="V376" t="s">
        <v>783</v>
      </c>
    </row>
    <row r="377" spans="1:22">
      <c r="A377" s="1" t="s">
        <v>397</v>
      </c>
      <c r="B377">
        <f>HYPERLINK("https://www.suredividend.com/sure-analysis-MCHP/","Microchip Technology, Inc.")</f>
        <v>0</v>
      </c>
      <c r="C377">
        <v>165.335</v>
      </c>
      <c r="D377">
        <v>144</v>
      </c>
      <c r="E377">
        <v>1.148159722222222</v>
      </c>
      <c r="F377">
        <v>0.01058457072005323</v>
      </c>
      <c r="G377">
        <v>-0.02725380996008997</v>
      </c>
      <c r="H377">
        <v>0.08</v>
      </c>
      <c r="I377">
        <v>0.06045113000977298</v>
      </c>
      <c r="J377" t="s">
        <v>358</v>
      </c>
      <c r="K377" t="s">
        <v>498</v>
      </c>
      <c r="L377">
        <v>8.49</v>
      </c>
      <c r="M377">
        <v>1.75</v>
      </c>
      <c r="N377">
        <v>0.2061248527679623</v>
      </c>
      <c r="O377">
        <v>19</v>
      </c>
      <c r="P377">
        <v>0.04967139653467445</v>
      </c>
      <c r="Q377">
        <v>2.421375883204663</v>
      </c>
      <c r="R377" t="s">
        <v>765</v>
      </c>
      <c r="S377" t="s">
        <v>777</v>
      </c>
      <c r="T377">
        <v>45263.215044</v>
      </c>
      <c r="U377" s="2">
        <v>44418</v>
      </c>
      <c r="V377" t="s">
        <v>780</v>
      </c>
    </row>
    <row r="378" spans="1:22">
      <c r="A378" s="1" t="s">
        <v>398</v>
      </c>
      <c r="B378">
        <f>HYPERLINK("https://www.suredividend.com/sure-analysis-SO/","Southern Company")</f>
        <v>0</v>
      </c>
      <c r="C378">
        <v>63.35</v>
      </c>
      <c r="D378">
        <v>55</v>
      </c>
      <c r="E378">
        <v>1.151818181818182</v>
      </c>
      <c r="F378">
        <v>0.04135753749013418</v>
      </c>
      <c r="G378">
        <v>-0.0278725330740508</v>
      </c>
      <c r="H378">
        <v>0.05</v>
      </c>
      <c r="I378">
        <v>0.05938393039093048</v>
      </c>
      <c r="J378" t="s">
        <v>358</v>
      </c>
      <c r="K378" t="s">
        <v>762</v>
      </c>
      <c r="L378">
        <v>3.33</v>
      </c>
      <c r="M378">
        <v>2.62</v>
      </c>
      <c r="N378">
        <v>0.7867867867867868</v>
      </c>
      <c r="O378">
        <v>20</v>
      </c>
      <c r="P378">
        <v>0.03018318869451253</v>
      </c>
      <c r="Q378">
        <v>0.25720064644702</v>
      </c>
      <c r="R378" t="s">
        <v>765</v>
      </c>
      <c r="S378" t="s">
        <v>776</v>
      </c>
      <c r="T378">
        <v>67129.556608</v>
      </c>
      <c r="U378" s="2">
        <v>44432</v>
      </c>
      <c r="V378" t="s">
        <v>787</v>
      </c>
    </row>
    <row r="379" spans="1:22">
      <c r="A379" s="1" t="s">
        <v>399</v>
      </c>
      <c r="B379">
        <f>HYPERLINK("https://www.suredividend.com/sure-analysis-PNC/","PNC Financial Services Group")</f>
        <v>0</v>
      </c>
      <c r="C379">
        <v>195.71</v>
      </c>
      <c r="D379">
        <v>180</v>
      </c>
      <c r="E379">
        <v>1.087277777777778</v>
      </c>
      <c r="F379">
        <v>0.02554800470083286</v>
      </c>
      <c r="G379">
        <v>-0.01659616489088411</v>
      </c>
      <c r="H379">
        <v>0.05</v>
      </c>
      <c r="I379">
        <v>0.05746928661793138</v>
      </c>
      <c r="J379" t="s">
        <v>358</v>
      </c>
      <c r="K379" t="s">
        <v>498</v>
      </c>
      <c r="L379">
        <v>14.3</v>
      </c>
      <c r="M379">
        <v>5</v>
      </c>
      <c r="N379">
        <v>0.3496503496503496</v>
      </c>
      <c r="O379">
        <v>11</v>
      </c>
      <c r="P379">
        <v>0.05061112176150684</v>
      </c>
      <c r="Q379">
        <v>0.948270847987377</v>
      </c>
      <c r="R379" t="s">
        <v>765</v>
      </c>
      <c r="S379" t="s">
        <v>773</v>
      </c>
      <c r="T379">
        <v>82256.82494999999</v>
      </c>
      <c r="U379" s="2">
        <v>44393</v>
      </c>
      <c r="V379" t="s">
        <v>787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73.41</v>
      </c>
      <c r="D380">
        <v>111</v>
      </c>
      <c r="E380">
        <v>0.6613513513513514</v>
      </c>
      <c r="F380">
        <v>0.02887889933251601</v>
      </c>
      <c r="G380">
        <v>0.08620938526401267</v>
      </c>
      <c r="H380">
        <v>-0.05</v>
      </c>
      <c r="I380">
        <v>0.0561974924041424</v>
      </c>
      <c r="J380" t="s">
        <v>358</v>
      </c>
      <c r="K380" t="s">
        <v>358</v>
      </c>
      <c r="L380">
        <v>11.13</v>
      </c>
      <c r="M380">
        <v>2.12</v>
      </c>
      <c r="N380">
        <v>0.1904761904761905</v>
      </c>
      <c r="O380">
        <v>0</v>
      </c>
      <c r="P380">
        <v>0</v>
      </c>
      <c r="Q380">
        <v>0.870853548280296</v>
      </c>
      <c r="R380" t="s">
        <v>765</v>
      </c>
      <c r="S380" t="s">
        <v>771</v>
      </c>
      <c r="T380">
        <v>25618.979596</v>
      </c>
      <c r="U380" s="2">
        <v>44422</v>
      </c>
      <c r="V380" t="s">
        <v>780</v>
      </c>
    </row>
    <row r="381" spans="1:22">
      <c r="A381" s="1" t="s">
        <v>401</v>
      </c>
      <c r="B381">
        <f>HYPERLINK("https://www.suredividend.com/sure-analysis-AON/","Aon plc.")</f>
        <v>0</v>
      </c>
      <c r="C381">
        <v>299.15</v>
      </c>
      <c r="D381">
        <v>233</v>
      </c>
      <c r="E381">
        <v>1.283905579399142</v>
      </c>
      <c r="F381">
        <v>0.006819321410663547</v>
      </c>
      <c r="G381">
        <v>-0.04875281897556805</v>
      </c>
      <c r="H381">
        <v>0.1</v>
      </c>
      <c r="I381">
        <v>0.05412455114669057</v>
      </c>
      <c r="J381" t="s">
        <v>358</v>
      </c>
      <c r="K381" t="s">
        <v>763</v>
      </c>
      <c r="L381">
        <v>11.65</v>
      </c>
      <c r="M381">
        <v>2.04</v>
      </c>
      <c r="N381">
        <v>0.1751072961373391</v>
      </c>
      <c r="O381">
        <v>10</v>
      </c>
      <c r="P381">
        <v>0.1101602038533911</v>
      </c>
      <c r="Q381">
        <v>0.50150029220588</v>
      </c>
      <c r="R381" t="s">
        <v>765</v>
      </c>
      <c r="S381" t="s">
        <v>773</v>
      </c>
      <c r="T381">
        <v>67338.116479</v>
      </c>
      <c r="U381" s="2">
        <v>44421</v>
      </c>
      <c r="V381" t="s">
        <v>785</v>
      </c>
    </row>
    <row r="382" spans="1:22">
      <c r="A382" s="1" t="s">
        <v>402</v>
      </c>
      <c r="B382">
        <f>HYPERLINK("https://www.suredividend.com/sure-analysis-CUBE/","CubeSmart")</f>
        <v>0</v>
      </c>
      <c r="C382">
        <v>50.28</v>
      </c>
      <c r="D382">
        <v>40</v>
      </c>
      <c r="E382">
        <v>1.257</v>
      </c>
      <c r="F382">
        <v>0.02704852824184567</v>
      </c>
      <c r="G382">
        <v>-0.04471503077776817</v>
      </c>
      <c r="H382">
        <v>0.075</v>
      </c>
      <c r="I382">
        <v>0.05375706402298053</v>
      </c>
      <c r="J382" t="s">
        <v>358</v>
      </c>
      <c r="K382" t="s">
        <v>358</v>
      </c>
      <c r="L382">
        <v>2.01</v>
      </c>
      <c r="M382">
        <v>1.36</v>
      </c>
      <c r="N382">
        <v>0.6766169154228857</v>
      </c>
      <c r="O382">
        <v>11</v>
      </c>
      <c r="P382">
        <v>0.0505145404837426</v>
      </c>
      <c r="Q382">
        <v>0.6992126089603351</v>
      </c>
      <c r="R382" t="s">
        <v>767</v>
      </c>
      <c r="S382" t="s">
        <v>779</v>
      </c>
      <c r="T382">
        <v>10249.921436</v>
      </c>
      <c r="U382" s="2">
        <v>44408</v>
      </c>
      <c r="V382" t="s">
        <v>780</v>
      </c>
    </row>
    <row r="383" spans="1:22">
      <c r="A383" s="1" t="s">
        <v>403</v>
      </c>
      <c r="B383">
        <f>HYPERLINK("https://www.suredividend.com/sure-analysis-PM/","Philip Morris International Inc")</f>
        <v>0</v>
      </c>
      <c r="C383">
        <v>101.77</v>
      </c>
      <c r="D383">
        <v>90</v>
      </c>
      <c r="E383">
        <v>1.130777777777778</v>
      </c>
      <c r="F383">
        <v>0.04913039206052865</v>
      </c>
      <c r="G383">
        <v>-0.02428148309358946</v>
      </c>
      <c r="H383">
        <v>0.03</v>
      </c>
      <c r="I383">
        <v>0.05289424402501419</v>
      </c>
      <c r="J383" t="s">
        <v>358</v>
      </c>
      <c r="K383" t="s">
        <v>762</v>
      </c>
      <c r="L383">
        <v>6</v>
      </c>
      <c r="M383">
        <v>5</v>
      </c>
      <c r="N383">
        <v>0.8333333333333334</v>
      </c>
      <c r="O383">
        <v>14</v>
      </c>
      <c r="P383">
        <v>0.03012896281839894</v>
      </c>
      <c r="Q383">
        <v>0.3982187698982581</v>
      </c>
      <c r="R383" t="s">
        <v>765</v>
      </c>
      <c r="S383" t="s">
        <v>774</v>
      </c>
      <c r="T383">
        <v>158113.578346</v>
      </c>
      <c r="U383" s="2">
        <v>44397</v>
      </c>
      <c r="V383" t="s">
        <v>784</v>
      </c>
    </row>
    <row r="384" spans="1:22">
      <c r="A384" s="1" t="s">
        <v>404</v>
      </c>
      <c r="B384">
        <f>HYPERLINK("https://www.suredividend.com/sure-analysis-PSB/","PS Business Parks, Inc.")</f>
        <v>0</v>
      </c>
      <c r="C384">
        <v>158.6</v>
      </c>
      <c r="D384">
        <v>144</v>
      </c>
      <c r="E384">
        <v>1.101388888888889</v>
      </c>
      <c r="F384">
        <v>0.02648171500630517</v>
      </c>
      <c r="G384">
        <v>-0.01912907394839691</v>
      </c>
      <c r="H384">
        <v>0.045</v>
      </c>
      <c r="I384">
        <v>0.05219720217061052</v>
      </c>
      <c r="J384" t="s">
        <v>358</v>
      </c>
      <c r="K384" t="s">
        <v>358</v>
      </c>
      <c r="L384">
        <v>6.86</v>
      </c>
      <c r="M384">
        <v>4.2</v>
      </c>
      <c r="N384">
        <v>0.6122448979591837</v>
      </c>
      <c r="O384">
        <v>0</v>
      </c>
      <c r="P384">
        <v>0.05997935097636264</v>
      </c>
      <c r="Q384">
        <v>0.4046833399422191</v>
      </c>
      <c r="R384" t="s">
        <v>767</v>
      </c>
      <c r="S384" t="s">
        <v>779</v>
      </c>
      <c r="T384">
        <v>4371.004589</v>
      </c>
      <c r="U384" s="2">
        <v>44416</v>
      </c>
      <c r="V384" t="s">
        <v>780</v>
      </c>
    </row>
    <row r="385" spans="1:22">
      <c r="A385" s="1" t="s">
        <v>405</v>
      </c>
      <c r="B385">
        <f>HYPERLINK("https://www.suredividend.com/sure-analysis-BUD/","Anheuser-Busch In Bev SA/NV")</f>
        <v>0</v>
      </c>
      <c r="C385">
        <v>58.28</v>
      </c>
      <c r="D385">
        <v>62</v>
      </c>
      <c r="E385">
        <v>0.9400000000000001</v>
      </c>
      <c r="F385">
        <v>0.009780370624571036</v>
      </c>
      <c r="G385">
        <v>0.01245196889366262</v>
      </c>
      <c r="H385">
        <v>0.03</v>
      </c>
      <c r="I385">
        <v>0.05096745490735755</v>
      </c>
      <c r="J385" t="s">
        <v>358</v>
      </c>
      <c r="K385" t="s">
        <v>763</v>
      </c>
      <c r="L385">
        <v>3.08</v>
      </c>
      <c r="M385">
        <v>0.57</v>
      </c>
      <c r="N385">
        <v>0.185064935064935</v>
      </c>
      <c r="O385">
        <v>0</v>
      </c>
      <c r="P385">
        <v>0</v>
      </c>
      <c r="Q385">
        <v>0.129335068704576</v>
      </c>
      <c r="R385" t="s">
        <v>765</v>
      </c>
      <c r="S385" t="s">
        <v>774</v>
      </c>
      <c r="T385">
        <v>118792.005272</v>
      </c>
      <c r="U385" s="2">
        <v>44439</v>
      </c>
      <c r="V385" t="s">
        <v>788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162.67</v>
      </c>
      <c r="D386">
        <v>167</v>
      </c>
      <c r="E386">
        <v>0.9740718562874251</v>
      </c>
      <c r="F386">
        <v>0.02458966004794984</v>
      </c>
      <c r="G386">
        <v>0.005267867404364024</v>
      </c>
      <c r="H386">
        <v>0.02</v>
      </c>
      <c r="I386">
        <v>0.04999003392747725</v>
      </c>
      <c r="J386" t="s">
        <v>358</v>
      </c>
      <c r="K386" t="s">
        <v>498</v>
      </c>
      <c r="L386">
        <v>13.9</v>
      </c>
      <c r="M386">
        <v>4</v>
      </c>
      <c r="N386">
        <v>0.2877697841726619</v>
      </c>
      <c r="O386">
        <v>11</v>
      </c>
      <c r="P386">
        <v>0.05020040579475671</v>
      </c>
      <c r="Q386">
        <v>0.787383630990335</v>
      </c>
      <c r="R386" t="s">
        <v>765</v>
      </c>
      <c r="S386" t="s">
        <v>773</v>
      </c>
      <c r="T386">
        <v>481630.880119</v>
      </c>
      <c r="U386" s="2">
        <v>44394</v>
      </c>
      <c r="V386" t="s">
        <v>785</v>
      </c>
    </row>
    <row r="387" spans="1:22">
      <c r="A387" s="1" t="s">
        <v>407</v>
      </c>
      <c r="B387">
        <f>HYPERLINK("https://www.suredividend.com/sure-analysis-R/","Ryder System, Inc.")</f>
        <v>0</v>
      </c>
      <c r="C387">
        <v>82.2</v>
      </c>
      <c r="D387">
        <v>88</v>
      </c>
      <c r="E387">
        <v>0.9340909090909091</v>
      </c>
      <c r="F387">
        <v>0.02822384428223844</v>
      </c>
      <c r="G387">
        <v>0.0137297009094548</v>
      </c>
      <c r="H387">
        <v>0.01</v>
      </c>
      <c r="I387">
        <v>0.04906979925616306</v>
      </c>
      <c r="J387" t="s">
        <v>358</v>
      </c>
      <c r="K387" t="s">
        <v>358</v>
      </c>
      <c r="L387">
        <v>7.35</v>
      </c>
      <c r="M387">
        <v>2.32</v>
      </c>
      <c r="N387">
        <v>0.3156462585034013</v>
      </c>
      <c r="O387">
        <v>17</v>
      </c>
      <c r="P387">
        <v>0.01013720758985226</v>
      </c>
      <c r="Q387">
        <v>1.005781632199244</v>
      </c>
      <c r="R387" t="s">
        <v>765</v>
      </c>
      <c r="S387" t="s">
        <v>772</v>
      </c>
      <c r="T387">
        <v>4365.340767</v>
      </c>
      <c r="U387" s="2">
        <v>44409</v>
      </c>
      <c r="V387" t="s">
        <v>784</v>
      </c>
    </row>
    <row r="388" spans="1:22">
      <c r="A388" s="1" t="s">
        <v>408</v>
      </c>
      <c r="B388">
        <f>HYPERLINK("https://www.suredividend.com/sure-analysis-WY/","Weyerhaeuser Co.")</f>
        <v>0</v>
      </c>
      <c r="C388">
        <v>37.57</v>
      </c>
      <c r="D388">
        <v>62.7</v>
      </c>
      <c r="E388">
        <v>0.5992025518341307</v>
      </c>
      <c r="F388">
        <v>0.01809954751131222</v>
      </c>
      <c r="G388">
        <v>0.1078609871695442</v>
      </c>
      <c r="H388">
        <v>-0.075</v>
      </c>
      <c r="I388">
        <v>0.04895887494316642</v>
      </c>
      <c r="J388" t="s">
        <v>358</v>
      </c>
      <c r="K388" t="s">
        <v>498</v>
      </c>
      <c r="L388">
        <v>3.69</v>
      </c>
      <c r="M388">
        <v>0.68</v>
      </c>
      <c r="N388">
        <v>0.1842818428184282</v>
      </c>
      <c r="O388">
        <v>0</v>
      </c>
      <c r="P388">
        <v>0.1486983549970351</v>
      </c>
      <c r="Q388">
        <v>0.41600857357848</v>
      </c>
      <c r="R388" t="s">
        <v>767</v>
      </c>
      <c r="S388" t="s">
        <v>779</v>
      </c>
      <c r="T388">
        <v>27936.95184</v>
      </c>
      <c r="U388" s="2">
        <v>44420</v>
      </c>
      <c r="V388" t="s">
        <v>790</v>
      </c>
    </row>
    <row r="389" spans="1:22">
      <c r="A389" s="1" t="s">
        <v>409</v>
      </c>
      <c r="B389">
        <f>HYPERLINK("https://www.suredividend.com/sure-analysis-WEC/","WEC Energy Group Inc")</f>
        <v>0</v>
      </c>
      <c r="C389">
        <v>90.69</v>
      </c>
      <c r="D389">
        <v>77</v>
      </c>
      <c r="E389">
        <v>1.177792207792208</v>
      </c>
      <c r="F389">
        <v>0.02988201565773514</v>
      </c>
      <c r="G389">
        <v>-0.03219855845912278</v>
      </c>
      <c r="H389">
        <v>0.052</v>
      </c>
      <c r="I389">
        <v>0.04868748104609111</v>
      </c>
      <c r="J389" t="s">
        <v>358</v>
      </c>
      <c r="K389" t="s">
        <v>762</v>
      </c>
      <c r="L389">
        <v>4.04</v>
      </c>
      <c r="M389">
        <v>2.71</v>
      </c>
      <c r="N389">
        <v>0.6707920792079208</v>
      </c>
      <c r="O389">
        <v>18</v>
      </c>
      <c r="P389">
        <v>0.05189218178383381</v>
      </c>
      <c r="Q389">
        <v>-0.002124409487113</v>
      </c>
      <c r="R389" t="s">
        <v>765</v>
      </c>
      <c r="S389" t="s">
        <v>776</v>
      </c>
      <c r="T389">
        <v>28477.429459</v>
      </c>
      <c r="U389" s="2">
        <v>44415</v>
      </c>
      <c r="V389" t="s">
        <v>781</v>
      </c>
    </row>
    <row r="390" spans="1:22">
      <c r="A390" s="1" t="s">
        <v>410</v>
      </c>
      <c r="B390">
        <f>HYPERLINK("https://www.suredividend.com/sure-analysis-WPC/","W. P. Carey Inc")</f>
        <v>0</v>
      </c>
      <c r="C390">
        <v>75.73999999999999</v>
      </c>
      <c r="D390">
        <v>62</v>
      </c>
      <c r="E390">
        <v>1.221612903225806</v>
      </c>
      <c r="F390">
        <v>0.05558489569580143</v>
      </c>
      <c r="G390">
        <v>-0.0392436186278553</v>
      </c>
      <c r="H390">
        <v>0.035</v>
      </c>
      <c r="I390">
        <v>0.04852619904045463</v>
      </c>
      <c r="J390" t="s">
        <v>358</v>
      </c>
      <c r="K390" t="s">
        <v>761</v>
      </c>
      <c r="L390">
        <v>4.98</v>
      </c>
      <c r="M390">
        <v>4.21</v>
      </c>
      <c r="N390">
        <v>0.8453815261044176</v>
      </c>
      <c r="O390">
        <v>23</v>
      </c>
      <c r="P390">
        <v>0.02007985595231565</v>
      </c>
      <c r="Q390">
        <v>0.272228954475501</v>
      </c>
      <c r="R390" t="s">
        <v>767</v>
      </c>
      <c r="S390" t="s">
        <v>779</v>
      </c>
      <c r="T390">
        <v>14045.243852</v>
      </c>
      <c r="U390" s="2">
        <v>44440</v>
      </c>
      <c r="V390" t="s">
        <v>783</v>
      </c>
    </row>
    <row r="391" spans="1:22">
      <c r="A391" s="1" t="s">
        <v>411</v>
      </c>
      <c r="B391">
        <f>HYPERLINK("https://www.suredividend.com/sure-analysis-MA/","Mastercard Incorporated")</f>
        <v>0</v>
      </c>
      <c r="C391">
        <v>356.07</v>
      </c>
      <c r="D391">
        <v>217</v>
      </c>
      <c r="E391">
        <v>1.640875576036866</v>
      </c>
      <c r="F391">
        <v>0.004942848316342292</v>
      </c>
      <c r="G391">
        <v>-0.0942989528634518</v>
      </c>
      <c r="H391">
        <v>0.15</v>
      </c>
      <c r="I391">
        <v>0.04798935467441789</v>
      </c>
      <c r="J391" t="s">
        <v>358</v>
      </c>
      <c r="K391" t="s">
        <v>763</v>
      </c>
      <c r="L391">
        <v>8.039999999999999</v>
      </c>
      <c r="M391">
        <v>1.76</v>
      </c>
      <c r="N391">
        <v>0.218905472636816</v>
      </c>
      <c r="O391">
        <v>10</v>
      </c>
      <c r="P391">
        <v>0.1500007374307972</v>
      </c>
      <c r="Q391">
        <v>0.09497730536064701</v>
      </c>
      <c r="R391" t="s">
        <v>765</v>
      </c>
      <c r="S391" t="s">
        <v>773</v>
      </c>
      <c r="T391">
        <v>346573.919589</v>
      </c>
      <c r="U391" s="2">
        <v>44407</v>
      </c>
      <c r="V391" t="s">
        <v>781</v>
      </c>
    </row>
    <row r="392" spans="1:22">
      <c r="A392" s="1" t="s">
        <v>412</v>
      </c>
      <c r="B392">
        <f>HYPERLINK("https://www.suredividend.com/sure-analysis-GOLD/","Barrick Gold Corp.")</f>
        <v>0</v>
      </c>
      <c r="C392">
        <v>18.24</v>
      </c>
      <c r="D392">
        <v>23</v>
      </c>
      <c r="E392">
        <v>0.7930434782608695</v>
      </c>
      <c r="F392">
        <v>0.01973684210526316</v>
      </c>
      <c r="G392">
        <v>0.0474676049318894</v>
      </c>
      <c r="H392">
        <v>-0.02</v>
      </c>
      <c r="I392">
        <v>0.04585740739915356</v>
      </c>
      <c r="J392" t="s">
        <v>358</v>
      </c>
      <c r="K392" t="s">
        <v>498</v>
      </c>
      <c r="L392">
        <v>1.25</v>
      </c>
      <c r="M392">
        <v>0.36</v>
      </c>
      <c r="N392">
        <v>0.288</v>
      </c>
      <c r="O392">
        <v>5</v>
      </c>
      <c r="P392">
        <v>0.04095039696925684</v>
      </c>
      <c r="Q392">
        <v>-0.317976901752009</v>
      </c>
      <c r="R392" t="s">
        <v>765</v>
      </c>
      <c r="S392" t="s">
        <v>771</v>
      </c>
      <c r="T392">
        <v>32420.280036</v>
      </c>
      <c r="U392" s="2">
        <v>44428</v>
      </c>
      <c r="V392" t="s">
        <v>785</v>
      </c>
    </row>
    <row r="393" spans="1:22">
      <c r="A393" s="1" t="s">
        <v>413</v>
      </c>
      <c r="B393">
        <f>HYPERLINK("https://www.suredividend.com/sure-analysis-M/","Macy`s Inc")</f>
        <v>0</v>
      </c>
      <c r="C393">
        <v>23.615</v>
      </c>
      <c r="D393">
        <v>25</v>
      </c>
      <c r="E393">
        <v>0.9445999999999999</v>
      </c>
      <c r="F393">
        <v>0.02540757992801186</v>
      </c>
      <c r="G393">
        <v>0.01146395753732232</v>
      </c>
      <c r="H393">
        <v>0.01</v>
      </c>
      <c r="I393">
        <v>0.04390874612978846</v>
      </c>
      <c r="J393" t="s">
        <v>358</v>
      </c>
      <c r="K393" t="s">
        <v>498</v>
      </c>
      <c r="L393">
        <v>3.6</v>
      </c>
      <c r="M393">
        <v>0.6</v>
      </c>
      <c r="N393">
        <v>0.1666666666666667</v>
      </c>
      <c r="O393">
        <v>0</v>
      </c>
      <c r="P393">
        <v>0</v>
      </c>
      <c r="Q393">
        <v>2.819335696035605</v>
      </c>
      <c r="R393" t="s">
        <v>765</v>
      </c>
      <c r="S393" t="s">
        <v>775</v>
      </c>
      <c r="T393">
        <v>7175.861259</v>
      </c>
      <c r="U393" s="2">
        <v>44433</v>
      </c>
      <c r="V393" t="s">
        <v>783</v>
      </c>
    </row>
    <row r="394" spans="1:22">
      <c r="A394" s="1" t="s">
        <v>414</v>
      </c>
      <c r="B394">
        <f>HYPERLINK("https://www.suredividend.com/sure-analysis-ESRT/","Empire State Realty Trust Inc")</f>
        <v>0</v>
      </c>
      <c r="C394">
        <v>10.12</v>
      </c>
      <c r="D394">
        <v>10.11</v>
      </c>
      <c r="E394">
        <v>1.000989119683482</v>
      </c>
      <c r="F394">
        <v>0.01383399209486166</v>
      </c>
      <c r="G394">
        <v>-0.0001977066188579846</v>
      </c>
      <c r="H394">
        <v>0.02</v>
      </c>
      <c r="I394">
        <v>0.04174864226977948</v>
      </c>
      <c r="J394" t="s">
        <v>358</v>
      </c>
      <c r="K394" t="s">
        <v>763</v>
      </c>
      <c r="L394">
        <v>0.64</v>
      </c>
      <c r="M394">
        <v>0.14</v>
      </c>
      <c r="N394">
        <v>0.21875</v>
      </c>
      <c r="O394">
        <v>0</v>
      </c>
      <c r="P394">
        <v>0.2011244339814311</v>
      </c>
      <c r="Q394">
        <v>0.757099655879592</v>
      </c>
      <c r="R394" t="s">
        <v>767</v>
      </c>
      <c r="S394" t="s">
        <v>779</v>
      </c>
      <c r="T394">
        <v>1743.076191</v>
      </c>
      <c r="U394" s="2">
        <v>44427</v>
      </c>
      <c r="V394" t="s">
        <v>780</v>
      </c>
    </row>
    <row r="395" spans="1:22">
      <c r="A395" s="1" t="s">
        <v>415</v>
      </c>
      <c r="B395">
        <f>HYPERLINK("https://www.suredividend.com/sure-analysis-OSK/","Oshkosh Corp")</f>
        <v>0</v>
      </c>
      <c r="C395">
        <v>105.58</v>
      </c>
      <c r="D395">
        <v>90</v>
      </c>
      <c r="E395">
        <v>1.173111111111111</v>
      </c>
      <c r="F395">
        <v>0.01250236787270316</v>
      </c>
      <c r="G395">
        <v>-0.03142741951560313</v>
      </c>
      <c r="H395">
        <v>0.06</v>
      </c>
      <c r="I395">
        <v>0.04100382254386692</v>
      </c>
      <c r="J395" t="s">
        <v>358</v>
      </c>
      <c r="K395" t="s">
        <v>498</v>
      </c>
      <c r="L395">
        <v>6.45</v>
      </c>
      <c r="M395">
        <v>1.32</v>
      </c>
      <c r="N395">
        <v>0.2046511627906977</v>
      </c>
      <c r="O395">
        <v>8</v>
      </c>
      <c r="P395">
        <v>0.09096607850144967</v>
      </c>
      <c r="Q395">
        <v>0.5057626275121661</v>
      </c>
      <c r="R395" t="s">
        <v>765</v>
      </c>
      <c r="S395" t="s">
        <v>772</v>
      </c>
      <c r="T395">
        <v>7226.668962</v>
      </c>
      <c r="U395" s="2">
        <v>44411</v>
      </c>
      <c r="V395" t="s">
        <v>784</v>
      </c>
    </row>
    <row r="396" spans="1:22">
      <c r="A396" s="1" t="s">
        <v>416</v>
      </c>
      <c r="B396">
        <f>HYPERLINK("https://www.suredividend.com/sure-analysis-HAL/","Halliburton Co.")</f>
        <v>0</v>
      </c>
      <c r="C396">
        <v>21.14</v>
      </c>
      <c r="D396">
        <v>12</v>
      </c>
      <c r="E396">
        <v>1.761666666666667</v>
      </c>
      <c r="F396">
        <v>0.008514664143803216</v>
      </c>
      <c r="G396">
        <v>-0.1070744445432956</v>
      </c>
      <c r="H396">
        <v>0.149</v>
      </c>
      <c r="I396">
        <v>0.03938415469550938</v>
      </c>
      <c r="J396" t="s">
        <v>358</v>
      </c>
      <c r="K396" t="s">
        <v>763</v>
      </c>
      <c r="L396">
        <v>0.9</v>
      </c>
      <c r="M396">
        <v>0.18</v>
      </c>
      <c r="N396">
        <v>0.2</v>
      </c>
      <c r="O396">
        <v>0</v>
      </c>
      <c r="P396">
        <v>0.2011244339814313</v>
      </c>
      <c r="Q396">
        <v>0.6563328265904691</v>
      </c>
      <c r="R396" t="s">
        <v>765</v>
      </c>
      <c r="S396" t="s">
        <v>778</v>
      </c>
      <c r="T396">
        <v>18531.291723</v>
      </c>
      <c r="U396" s="2">
        <v>44397</v>
      </c>
      <c r="V396" t="s">
        <v>787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40.175</v>
      </c>
      <c r="D397">
        <v>39</v>
      </c>
      <c r="E397">
        <v>1.030128205128205</v>
      </c>
      <c r="F397">
        <v>0.0238954573739888</v>
      </c>
      <c r="G397">
        <v>-0.005919065993836181</v>
      </c>
      <c r="H397">
        <v>0.02</v>
      </c>
      <c r="I397">
        <v>0.03899114429738115</v>
      </c>
      <c r="J397" t="s">
        <v>358</v>
      </c>
      <c r="K397" t="s">
        <v>498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0.419781964586966</v>
      </c>
      <c r="R397" t="s">
        <v>765</v>
      </c>
      <c r="S397" t="s">
        <v>769</v>
      </c>
      <c r="T397">
        <v>26053.09896</v>
      </c>
      <c r="U397" s="2">
        <v>44443</v>
      </c>
      <c r="V397" t="s">
        <v>786</v>
      </c>
    </row>
    <row r="398" spans="1:22">
      <c r="A398" s="1" t="s">
        <v>418</v>
      </c>
      <c r="B398">
        <f>HYPERLINK("https://www.suredividend.com/sure-analysis-PEG/","Public Service Enterprise Group Inc.")</f>
        <v>0</v>
      </c>
      <c r="C398">
        <v>60.555</v>
      </c>
      <c r="D398">
        <v>53</v>
      </c>
      <c r="E398">
        <v>1.142547169811321</v>
      </c>
      <c r="F398">
        <v>0.03368838246222443</v>
      </c>
      <c r="G398">
        <v>-0.02629999502123026</v>
      </c>
      <c r="H398">
        <v>0.03</v>
      </c>
      <c r="I398">
        <v>0.03788175035375096</v>
      </c>
      <c r="J398" t="s">
        <v>358</v>
      </c>
      <c r="K398" t="s">
        <v>762</v>
      </c>
      <c r="L398">
        <v>3.51</v>
      </c>
      <c r="M398">
        <v>2.04</v>
      </c>
      <c r="N398">
        <v>0.5811965811965812</v>
      </c>
      <c r="O398">
        <v>9</v>
      </c>
      <c r="P398">
        <v>0.0398346919425614</v>
      </c>
      <c r="Q398">
        <v>0.199781750032618</v>
      </c>
      <c r="R398" t="s">
        <v>765</v>
      </c>
      <c r="S398" t="s">
        <v>776</v>
      </c>
      <c r="T398">
        <v>30683.4725</v>
      </c>
      <c r="U398" s="2">
        <v>44423</v>
      </c>
      <c r="V398" t="s">
        <v>786</v>
      </c>
    </row>
    <row r="399" spans="1:22">
      <c r="A399" s="1" t="s">
        <v>419</v>
      </c>
      <c r="B399">
        <f>HYPERLINK("https://www.suredividend.com/sure-analysis-DUK/","Duke Energy Corp.")</f>
        <v>0</v>
      </c>
      <c r="C399">
        <v>98.55</v>
      </c>
      <c r="D399">
        <v>78</v>
      </c>
      <c r="E399">
        <v>1.263461538461538</v>
      </c>
      <c r="F399">
        <v>0.03997970573313039</v>
      </c>
      <c r="G399">
        <v>-0.04569413086794405</v>
      </c>
      <c r="H399">
        <v>0.044</v>
      </c>
      <c r="I399">
        <v>0.03683584514903226</v>
      </c>
      <c r="J399" t="s">
        <v>358</v>
      </c>
      <c r="K399" t="s">
        <v>762</v>
      </c>
      <c r="L399">
        <v>5.19</v>
      </c>
      <c r="M399">
        <v>3.94</v>
      </c>
      <c r="N399">
        <v>0.7591522157996146</v>
      </c>
      <c r="O399">
        <v>10</v>
      </c>
      <c r="P399">
        <v>0.02693571566003095</v>
      </c>
      <c r="Q399">
        <v>0.25894632333938</v>
      </c>
      <c r="R399" t="s">
        <v>765</v>
      </c>
      <c r="S399" t="s">
        <v>776</v>
      </c>
      <c r="T399">
        <v>75702.819643</v>
      </c>
      <c r="U399" s="2">
        <v>44421</v>
      </c>
      <c r="V399" t="s">
        <v>790</v>
      </c>
    </row>
    <row r="400" spans="1:22">
      <c r="A400" s="1" t="s">
        <v>420</v>
      </c>
      <c r="B400">
        <f>HYPERLINK("https://www.suredividend.com/sure-analysis-NNN/","National Retail Properties Inc")</f>
        <v>0</v>
      </c>
      <c r="C400">
        <v>44.59</v>
      </c>
      <c r="D400">
        <v>38.5</v>
      </c>
      <c r="E400">
        <v>1.158181818181818</v>
      </c>
      <c r="F400">
        <v>0.04754429244225163</v>
      </c>
      <c r="G400">
        <v>-0.02894316063620994</v>
      </c>
      <c r="H400">
        <v>0.018</v>
      </c>
      <c r="I400">
        <v>0.03604232524849871</v>
      </c>
      <c r="J400" t="s">
        <v>358</v>
      </c>
      <c r="K400" t="s">
        <v>762</v>
      </c>
      <c r="L400">
        <v>2.75</v>
      </c>
      <c r="M400">
        <v>2.12</v>
      </c>
      <c r="N400">
        <v>0.770909090909091</v>
      </c>
      <c r="O400">
        <v>21</v>
      </c>
      <c r="P400">
        <v>0.01643215369887963</v>
      </c>
      <c r="Q400">
        <v>0.402038987649524</v>
      </c>
      <c r="R400" t="s">
        <v>767</v>
      </c>
      <c r="S400" t="s">
        <v>779</v>
      </c>
      <c r="T400">
        <v>7858.073956</v>
      </c>
      <c r="U400" s="2">
        <v>44420</v>
      </c>
      <c r="V400" t="s">
        <v>790</v>
      </c>
    </row>
    <row r="401" spans="1:22">
      <c r="A401" s="1" t="s">
        <v>421</v>
      </c>
      <c r="B401">
        <f>HYPERLINK("https://www.suredividend.com/sure-analysis-GLOP/","Gaslog Partners LP")</f>
        <v>0</v>
      </c>
      <c r="C401">
        <v>4.12</v>
      </c>
      <c r="D401">
        <v>4.6</v>
      </c>
      <c r="E401">
        <v>0.8956521739130435</v>
      </c>
      <c r="F401">
        <v>0.009708737864077669</v>
      </c>
      <c r="G401">
        <v>0.02228531706191883</v>
      </c>
      <c r="H401">
        <v>0</v>
      </c>
      <c r="I401">
        <v>0.03345122295217795</v>
      </c>
      <c r="J401" t="s">
        <v>358</v>
      </c>
      <c r="K401" t="s">
        <v>498</v>
      </c>
      <c r="L401">
        <v>1.15</v>
      </c>
      <c r="M401">
        <v>0.04</v>
      </c>
      <c r="N401">
        <v>0.03478260869565217</v>
      </c>
      <c r="O401">
        <v>0</v>
      </c>
      <c r="P401">
        <v>0.08447177119769855</v>
      </c>
      <c r="Q401">
        <v>0.103978081603051</v>
      </c>
      <c r="R401" t="s">
        <v>765</v>
      </c>
      <c r="S401" t="s">
        <v>778</v>
      </c>
      <c r="T401">
        <v>195.298257</v>
      </c>
      <c r="U401" s="2">
        <v>44404</v>
      </c>
      <c r="V401" t="s">
        <v>780</v>
      </c>
    </row>
    <row r="402" spans="1:22">
      <c r="A402" s="1" t="s">
        <v>422</v>
      </c>
      <c r="B402">
        <f>HYPERLINK("https://www.suredividend.com/sure-analysis-STZ/","Constellation Brands Inc")</f>
        <v>0</v>
      </c>
      <c r="C402">
        <v>213.39</v>
      </c>
      <c r="D402">
        <v>183</v>
      </c>
      <c r="E402">
        <v>1.166065573770492</v>
      </c>
      <c r="F402">
        <v>0.01424621584891513</v>
      </c>
      <c r="G402">
        <v>-0.03025978691234199</v>
      </c>
      <c r="H402">
        <v>0.05</v>
      </c>
      <c r="I402">
        <v>0.03316169519159629</v>
      </c>
      <c r="J402" t="s">
        <v>358</v>
      </c>
      <c r="K402" t="s">
        <v>763</v>
      </c>
      <c r="L402">
        <v>10.15</v>
      </c>
      <c r="M402">
        <v>3.04</v>
      </c>
      <c r="N402">
        <v>0.2995073891625616</v>
      </c>
      <c r="O402">
        <v>6</v>
      </c>
      <c r="P402">
        <v>0.05000563166277994</v>
      </c>
      <c r="Q402">
        <v>0.163417104221015</v>
      </c>
      <c r="R402" t="s">
        <v>765</v>
      </c>
      <c r="S402" t="s">
        <v>774</v>
      </c>
      <c r="T402">
        <v>40883.384353</v>
      </c>
      <c r="U402" s="2">
        <v>44377</v>
      </c>
      <c r="V402" t="s">
        <v>784</v>
      </c>
    </row>
    <row r="403" spans="1:22">
      <c r="A403" s="1" t="s">
        <v>423</v>
      </c>
      <c r="B403">
        <f>HYPERLINK("https://www.suredividend.com/sure-analysis-BAC/","Bank Of America Corp.")</f>
        <v>0</v>
      </c>
      <c r="C403">
        <v>42.165</v>
      </c>
      <c r="D403">
        <v>36</v>
      </c>
      <c r="E403">
        <v>1.17125</v>
      </c>
      <c r="F403">
        <v>0.01992173603699751</v>
      </c>
      <c r="G403">
        <v>-0.03111980345759224</v>
      </c>
      <c r="H403">
        <v>0.04</v>
      </c>
      <c r="I403">
        <v>0.03231712534425335</v>
      </c>
      <c r="J403" t="s">
        <v>358</v>
      </c>
      <c r="K403" t="s">
        <v>498</v>
      </c>
      <c r="L403">
        <v>3.1</v>
      </c>
      <c r="M403">
        <v>0.84</v>
      </c>
      <c r="N403">
        <v>0.2709677419354838</v>
      </c>
      <c r="O403">
        <v>8</v>
      </c>
      <c r="P403">
        <v>0.09953965407958165</v>
      </c>
      <c r="Q403">
        <v>0.8294315115079971</v>
      </c>
      <c r="R403" t="s">
        <v>765</v>
      </c>
      <c r="S403" t="s">
        <v>773</v>
      </c>
      <c r="T403">
        <v>350817.342799</v>
      </c>
      <c r="U403" s="2">
        <v>44395</v>
      </c>
      <c r="V403" t="s">
        <v>785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158.62</v>
      </c>
      <c r="D404">
        <v>129</v>
      </c>
      <c r="E404">
        <v>1.229612403100775</v>
      </c>
      <c r="F404">
        <v>0.01197831294918673</v>
      </c>
      <c r="G404">
        <v>-0.04049696464028185</v>
      </c>
      <c r="H404">
        <v>0.062</v>
      </c>
      <c r="I404">
        <v>0.03192813386361482</v>
      </c>
      <c r="J404" t="s">
        <v>358</v>
      </c>
      <c r="K404" t="s">
        <v>763</v>
      </c>
      <c r="L404">
        <v>6</v>
      </c>
      <c r="M404">
        <v>1.9</v>
      </c>
      <c r="N404">
        <v>0.3166666666666667</v>
      </c>
      <c r="O404">
        <v>11</v>
      </c>
      <c r="P404">
        <v>0.059780741378197</v>
      </c>
      <c r="Q404">
        <v>0.405998619987477</v>
      </c>
      <c r="R404" t="s">
        <v>765</v>
      </c>
      <c r="S404" t="s">
        <v>773</v>
      </c>
      <c r="T404">
        <v>80315.409476</v>
      </c>
      <c r="U404" s="2">
        <v>44400</v>
      </c>
      <c r="V404" t="s">
        <v>782</v>
      </c>
    </row>
    <row r="405" spans="1:22">
      <c r="A405" s="1" t="s">
        <v>425</v>
      </c>
      <c r="B405">
        <f>HYPERLINK("https://www.suredividend.com/sure-analysis-PAYX/","Paychex Inc.")</f>
        <v>0</v>
      </c>
      <c r="C405">
        <v>109.94</v>
      </c>
      <c r="D405">
        <v>84</v>
      </c>
      <c r="E405">
        <v>1.308809523809524</v>
      </c>
      <c r="F405">
        <v>0.02401309805348372</v>
      </c>
      <c r="G405">
        <v>-0.05240074483257529</v>
      </c>
      <c r="H405">
        <v>0.06</v>
      </c>
      <c r="I405">
        <v>0.03045078800924284</v>
      </c>
      <c r="J405" t="s">
        <v>358</v>
      </c>
      <c r="K405" t="s">
        <v>498</v>
      </c>
      <c r="L405">
        <v>3.37</v>
      </c>
      <c r="M405">
        <v>2.64</v>
      </c>
      <c r="N405">
        <v>0.7833827893175074</v>
      </c>
      <c r="O405">
        <v>10</v>
      </c>
      <c r="P405">
        <v>0.0500384320386924</v>
      </c>
      <c r="Q405">
        <v>0.489723460544813</v>
      </c>
      <c r="R405" t="s">
        <v>765</v>
      </c>
      <c r="S405" t="s">
        <v>772</v>
      </c>
      <c r="T405">
        <v>39780.03853</v>
      </c>
      <c r="U405" s="2">
        <v>44372</v>
      </c>
      <c r="V405" t="s">
        <v>781</v>
      </c>
    </row>
    <row r="406" spans="1:22">
      <c r="A406" s="1" t="s">
        <v>426</v>
      </c>
      <c r="B406">
        <f>HYPERLINK("https://www.suredividend.com/sure-analysis-HOG/","Harley-Davidson, Inc.")</f>
        <v>0</v>
      </c>
      <c r="C406">
        <v>38.15</v>
      </c>
      <c r="D406">
        <v>46</v>
      </c>
      <c r="E406">
        <v>0.8293478260869565</v>
      </c>
      <c r="F406">
        <v>0.01572739187418086</v>
      </c>
      <c r="G406">
        <v>0.03813219045892069</v>
      </c>
      <c r="H406">
        <v>-0.033</v>
      </c>
      <c r="I406">
        <v>0.03020121404526543</v>
      </c>
      <c r="J406" t="s">
        <v>358</v>
      </c>
      <c r="K406" t="s">
        <v>498</v>
      </c>
      <c r="L406">
        <v>3.54</v>
      </c>
      <c r="M406">
        <v>0.6</v>
      </c>
      <c r="N406">
        <v>0.1694915254237288</v>
      </c>
      <c r="O406">
        <v>0</v>
      </c>
      <c r="P406">
        <v>0.2011244339814313</v>
      </c>
      <c r="Q406">
        <v>0.6666231970997101</v>
      </c>
      <c r="R406" t="s">
        <v>765</v>
      </c>
      <c r="S406" t="s">
        <v>775</v>
      </c>
      <c r="T406">
        <v>5898.455372</v>
      </c>
      <c r="U406" s="2">
        <v>44415</v>
      </c>
      <c r="V406" t="s">
        <v>790</v>
      </c>
    </row>
    <row r="407" spans="1:22">
      <c r="A407" s="1" t="s">
        <v>427</v>
      </c>
      <c r="B407">
        <f>HYPERLINK("https://www.suredividend.com/sure-analysis-MRVL/","Marvell Technology Inc")</f>
        <v>0</v>
      </c>
      <c r="C407">
        <v>63.41</v>
      </c>
      <c r="D407">
        <v>29</v>
      </c>
      <c r="E407">
        <v>2.186551724137931</v>
      </c>
      <c r="F407">
        <v>0.003784891972874941</v>
      </c>
      <c r="G407">
        <v>-0.1448386800553852</v>
      </c>
      <c r="H407">
        <v>0.2</v>
      </c>
      <c r="I407">
        <v>0.02958410552562007</v>
      </c>
      <c r="J407" t="s">
        <v>358</v>
      </c>
      <c r="K407" t="s">
        <v>763</v>
      </c>
      <c r="L407">
        <v>1.4</v>
      </c>
      <c r="M407">
        <v>0.24</v>
      </c>
      <c r="N407">
        <v>0.1714285714285714</v>
      </c>
      <c r="O407">
        <v>0</v>
      </c>
      <c r="P407">
        <v>0</v>
      </c>
      <c r="Q407">
        <v>0.336141533277169</v>
      </c>
      <c r="R407" t="s">
        <v>765</v>
      </c>
      <c r="S407" t="s">
        <v>777</v>
      </c>
      <c r="T407">
        <v>52246.83691</v>
      </c>
      <c r="U407" s="2">
        <v>44461</v>
      </c>
      <c r="V407" t="s">
        <v>786</v>
      </c>
    </row>
    <row r="408" spans="1:22">
      <c r="A408" s="1" t="s">
        <v>428</v>
      </c>
      <c r="B408">
        <f>HYPERLINK("https://www.suredividend.com/sure-analysis-ASML/","ASML Holding NV")</f>
        <v>0</v>
      </c>
      <c r="C408">
        <v>869.27</v>
      </c>
      <c r="D408">
        <v>539</v>
      </c>
      <c r="E408">
        <v>1.612745825602969</v>
      </c>
      <c r="F408">
        <v>0.004302460685402695</v>
      </c>
      <c r="G408">
        <v>-0.09116129392515437</v>
      </c>
      <c r="H408">
        <v>0.12</v>
      </c>
      <c r="I408">
        <v>0.02403847508427193</v>
      </c>
      <c r="J408" t="s">
        <v>358</v>
      </c>
      <c r="K408" t="s">
        <v>763</v>
      </c>
      <c r="L408">
        <v>15.4</v>
      </c>
      <c r="M408">
        <v>3.74</v>
      </c>
      <c r="N408">
        <v>0.2428571428571429</v>
      </c>
      <c r="O408">
        <v>6</v>
      </c>
      <c r="P408">
        <v>0.1499242898639823</v>
      </c>
      <c r="Q408">
        <v>1.477359578135326</v>
      </c>
      <c r="R408" t="s">
        <v>765</v>
      </c>
      <c r="S408" t="s">
        <v>777</v>
      </c>
      <c r="T408">
        <v>363638.756538</v>
      </c>
      <c r="U408" s="2">
        <v>44399</v>
      </c>
      <c r="V408" t="s">
        <v>785</v>
      </c>
    </row>
    <row r="409" spans="1:22">
      <c r="A409" s="1" t="s">
        <v>429</v>
      </c>
      <c r="B409">
        <f>HYPERLINK("https://www.suredividend.com/sure-analysis-WFC/","Wells Fargo &amp; Co.")</f>
        <v>0</v>
      </c>
      <c r="C409">
        <v>48.355</v>
      </c>
      <c r="D409">
        <v>40</v>
      </c>
      <c r="E409">
        <v>1.208875</v>
      </c>
      <c r="F409">
        <v>0.008272153862061836</v>
      </c>
      <c r="G409">
        <v>-0.03722740276372283</v>
      </c>
      <c r="H409">
        <v>0.05</v>
      </c>
      <c r="I409">
        <v>0.02286286910193325</v>
      </c>
      <c r="J409" t="s">
        <v>358</v>
      </c>
      <c r="K409" t="s">
        <v>763</v>
      </c>
      <c r="L409">
        <v>4</v>
      </c>
      <c r="M409">
        <v>0.4</v>
      </c>
      <c r="N409">
        <v>0.1</v>
      </c>
      <c r="O409">
        <v>0</v>
      </c>
      <c r="P409">
        <v>0.1486983549970351</v>
      </c>
      <c r="Q409">
        <v>1.123812020420585</v>
      </c>
      <c r="R409" t="s">
        <v>765</v>
      </c>
      <c r="S409" t="s">
        <v>773</v>
      </c>
      <c r="T409">
        <v>196286.422521</v>
      </c>
      <c r="U409" s="2">
        <v>44394</v>
      </c>
      <c r="V409" t="s">
        <v>785</v>
      </c>
    </row>
    <row r="410" spans="1:22">
      <c r="A410" s="1" t="s">
        <v>430</v>
      </c>
      <c r="B410">
        <f>HYPERLINK("https://www.suredividend.com/sure-analysis-PSA/","Public Storage")</f>
        <v>0</v>
      </c>
      <c r="C410">
        <v>304.25</v>
      </c>
      <c r="D410">
        <v>242</v>
      </c>
      <c r="E410">
        <v>1.257231404958678</v>
      </c>
      <c r="F410">
        <v>0.02629416598192276</v>
      </c>
      <c r="G410">
        <v>-0.04475019915724554</v>
      </c>
      <c r="H410">
        <v>0.04</v>
      </c>
      <c r="I410">
        <v>0.02215769590910899</v>
      </c>
      <c r="J410" t="s">
        <v>358</v>
      </c>
      <c r="K410" t="s">
        <v>498</v>
      </c>
      <c r="L410">
        <v>12.1</v>
      </c>
      <c r="M410">
        <v>8</v>
      </c>
      <c r="N410">
        <v>0.6611570247933884</v>
      </c>
      <c r="O410">
        <v>0</v>
      </c>
      <c r="P410">
        <v>0.03993111034207586</v>
      </c>
      <c r="Q410">
        <v>0.4788152047497161</v>
      </c>
      <c r="R410" t="s">
        <v>767</v>
      </c>
      <c r="S410" t="s">
        <v>779</v>
      </c>
      <c r="T410">
        <v>53518.210588</v>
      </c>
      <c r="U410" s="2">
        <v>44415</v>
      </c>
      <c r="V410" t="s">
        <v>781</v>
      </c>
    </row>
    <row r="411" spans="1:22">
      <c r="A411" s="1" t="s">
        <v>431</v>
      </c>
      <c r="B411">
        <f>HYPERLINK("https://www.suredividend.com/sure-analysis-EAF/","GrafTech International Ltd.")</f>
        <v>0</v>
      </c>
      <c r="C411">
        <v>10.585</v>
      </c>
      <c r="D411">
        <v>9</v>
      </c>
      <c r="E411">
        <v>1.176111111111111</v>
      </c>
      <c r="F411">
        <v>0.003778932451582428</v>
      </c>
      <c r="G411">
        <v>-0.03192204744616434</v>
      </c>
      <c r="H411">
        <v>0.05</v>
      </c>
      <c r="I411">
        <v>0.02050479086463208</v>
      </c>
      <c r="J411" t="s">
        <v>358</v>
      </c>
      <c r="K411" t="s">
        <v>763</v>
      </c>
      <c r="L411">
        <v>1.54</v>
      </c>
      <c r="M411">
        <v>0.04</v>
      </c>
      <c r="N411">
        <v>0.02597402597402597</v>
      </c>
      <c r="O411">
        <v>0</v>
      </c>
      <c r="P411">
        <v>0.04563955259127317</v>
      </c>
      <c r="Q411">
        <v>0.495219509455684</v>
      </c>
      <c r="R411" t="s">
        <v>765</v>
      </c>
      <c r="S411" t="s">
        <v>772</v>
      </c>
      <c r="T411">
        <v>2852.930009</v>
      </c>
      <c r="U411" s="2">
        <v>44418</v>
      </c>
      <c r="V411" t="s">
        <v>782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5.3</v>
      </c>
      <c r="D412">
        <v>5</v>
      </c>
      <c r="E412">
        <v>1.06</v>
      </c>
      <c r="F412">
        <v>0.0169811320754717</v>
      </c>
      <c r="G412">
        <v>-0.011586139329545</v>
      </c>
      <c r="H412">
        <v>0.015</v>
      </c>
      <c r="I412">
        <v>0.01946925698828683</v>
      </c>
      <c r="J412" t="s">
        <v>358</v>
      </c>
      <c r="K412" t="s">
        <v>498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0.379151527557443</v>
      </c>
      <c r="R412" t="s">
        <v>765</v>
      </c>
      <c r="S412" t="s">
        <v>773</v>
      </c>
      <c r="T412">
        <v>26119.104491</v>
      </c>
      <c r="U412" s="2">
        <v>44425</v>
      </c>
      <c r="V412" t="s">
        <v>786</v>
      </c>
    </row>
    <row r="413" spans="1:22">
      <c r="A413" s="1" t="s">
        <v>433</v>
      </c>
      <c r="B413">
        <f>HYPERLINK("https://www.suredividend.com/sure-analysis-DLR/","Digital Realty Trust Inc")</f>
        <v>0</v>
      </c>
      <c r="C413">
        <v>153.45</v>
      </c>
      <c r="D413">
        <v>104</v>
      </c>
      <c r="E413">
        <v>1.475480769230769</v>
      </c>
      <c r="F413">
        <v>0.03023786249592701</v>
      </c>
      <c r="G413">
        <v>-0.0748475797401017</v>
      </c>
      <c r="H413">
        <v>0.06</v>
      </c>
      <c r="I413">
        <v>0.01694928245076288</v>
      </c>
      <c r="J413" t="s">
        <v>358</v>
      </c>
      <c r="K413" t="s">
        <v>358</v>
      </c>
      <c r="L413">
        <v>6.48</v>
      </c>
      <c r="M413">
        <v>4.64</v>
      </c>
      <c r="N413">
        <v>0.7160493827160492</v>
      </c>
      <c r="O413">
        <v>17</v>
      </c>
      <c r="P413">
        <v>0.06002162190703619</v>
      </c>
      <c r="Q413">
        <v>0.147396882267199</v>
      </c>
      <c r="R413" t="s">
        <v>767</v>
      </c>
      <c r="S413" t="s">
        <v>779</v>
      </c>
      <c r="T413">
        <v>43711.551443</v>
      </c>
      <c r="U413" s="2">
        <v>44413</v>
      </c>
      <c r="V413" t="s">
        <v>784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45.21</v>
      </c>
      <c r="D414">
        <v>43</v>
      </c>
      <c r="E414">
        <v>1.051395348837209</v>
      </c>
      <c r="F414">
        <v>0.02211900022119</v>
      </c>
      <c r="G414">
        <v>-0.009973567903547753</v>
      </c>
      <c r="H414">
        <v>0</v>
      </c>
      <c r="I414">
        <v>0.01545129266791467</v>
      </c>
      <c r="J414" t="s">
        <v>358</v>
      </c>
      <c r="K414" t="s">
        <v>498</v>
      </c>
      <c r="L414">
        <v>4.75</v>
      </c>
      <c r="M414">
        <v>1</v>
      </c>
      <c r="N414">
        <v>0.2105263157894737</v>
      </c>
      <c r="O414">
        <v>0</v>
      </c>
      <c r="P414">
        <v>0.05061112176150684</v>
      </c>
      <c r="Q414">
        <v>1.852131764405752</v>
      </c>
      <c r="R414" t="s">
        <v>765</v>
      </c>
      <c r="S414" t="s">
        <v>773</v>
      </c>
      <c r="T414">
        <v>5241.790135</v>
      </c>
      <c r="U414" s="2">
        <v>44399</v>
      </c>
      <c r="V414" t="s">
        <v>785</v>
      </c>
    </row>
    <row r="415" spans="1:22">
      <c r="A415" s="1" t="s">
        <v>435</v>
      </c>
      <c r="B415">
        <f>HYPERLINK("https://www.suredividend.com/sure-analysis-APLE/","Apple Hospitality REIT Inc")</f>
        <v>0</v>
      </c>
      <c r="C415">
        <v>16.3</v>
      </c>
      <c r="D415">
        <v>16.1</v>
      </c>
      <c r="E415">
        <v>1.012422360248447</v>
      </c>
      <c r="F415">
        <v>0.00245398773006135</v>
      </c>
      <c r="G415">
        <v>-0.0024661212786663</v>
      </c>
      <c r="H415">
        <v>-0.008</v>
      </c>
      <c r="I415">
        <v>0.01340338147840403</v>
      </c>
      <c r="J415" t="s">
        <v>358</v>
      </c>
      <c r="K415" t="s">
        <v>763</v>
      </c>
      <c r="L415">
        <v>0.72</v>
      </c>
      <c r="M415">
        <v>0.04</v>
      </c>
      <c r="N415">
        <v>0.05555555555555556</v>
      </c>
      <c r="O415">
        <v>0</v>
      </c>
      <c r="P415">
        <v>0.888175022589804</v>
      </c>
      <c r="Q415">
        <v>0.7795511002659981</v>
      </c>
      <c r="R415" t="s">
        <v>767</v>
      </c>
      <c r="S415" t="s">
        <v>779</v>
      </c>
      <c r="T415">
        <v>3696.840126</v>
      </c>
      <c r="U415" s="2">
        <v>44420</v>
      </c>
      <c r="V415" t="s">
        <v>790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191.025</v>
      </c>
      <c r="D416">
        <v>123</v>
      </c>
      <c r="E416">
        <v>1.553048780487805</v>
      </c>
      <c r="F416">
        <v>0.021044365920691</v>
      </c>
      <c r="G416">
        <v>-0.08427940747370244</v>
      </c>
      <c r="H416">
        <v>0.08</v>
      </c>
      <c r="I416">
        <v>0.01327876330302713</v>
      </c>
      <c r="J416" t="s">
        <v>358</v>
      </c>
      <c r="K416" t="s">
        <v>498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0.533085676524196</v>
      </c>
      <c r="R416" t="s">
        <v>765</v>
      </c>
      <c r="S416" t="s">
        <v>774</v>
      </c>
      <c r="T416">
        <v>111914.560726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124.37</v>
      </c>
      <c r="D417">
        <v>90</v>
      </c>
      <c r="E417">
        <v>1.381888888888889</v>
      </c>
      <c r="F417">
        <v>0.02412157272654177</v>
      </c>
      <c r="G417">
        <v>-0.0626422487659738</v>
      </c>
      <c r="H417">
        <v>0.05</v>
      </c>
      <c r="I417">
        <v>0.01122235591828558</v>
      </c>
      <c r="J417" t="s">
        <v>358</v>
      </c>
      <c r="K417" t="s">
        <v>358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0.061086937974575</v>
      </c>
      <c r="R417" t="s">
        <v>765</v>
      </c>
      <c r="S417" t="s">
        <v>774</v>
      </c>
      <c r="T417">
        <v>350101.55</v>
      </c>
      <c r="U417" s="2">
        <v>44424</v>
      </c>
      <c r="V417" t="s">
        <v>787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54.04</v>
      </c>
      <c r="D418">
        <v>37</v>
      </c>
      <c r="E418">
        <v>1.46054054054054</v>
      </c>
      <c r="F418">
        <v>0.02072538860103627</v>
      </c>
      <c r="G418">
        <v>-0.07296255462985746</v>
      </c>
      <c r="H418">
        <v>0.06</v>
      </c>
      <c r="I418">
        <v>0.007905140287933765</v>
      </c>
      <c r="J418" t="s">
        <v>358</v>
      </c>
      <c r="K418" t="s">
        <v>498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0.256563309844206</v>
      </c>
      <c r="R418" t="s">
        <v>765</v>
      </c>
      <c r="S418" t="s">
        <v>772</v>
      </c>
      <c r="T418">
        <v>30961.211101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HYPERLINK("https://www.suredividend.com/sure-analysis-KSU/","Kansas City Southern")</f>
        <v>0</v>
      </c>
      <c r="C419">
        <v>272.26</v>
      </c>
      <c r="D419">
        <v>180</v>
      </c>
      <c r="E419">
        <v>1.512555555555555</v>
      </c>
      <c r="F419">
        <v>0.007933592889150078</v>
      </c>
      <c r="G419">
        <v>-0.07942806004937875</v>
      </c>
      <c r="H419">
        <v>0.08</v>
      </c>
      <c r="I419">
        <v>0.004585849478364601</v>
      </c>
      <c r="J419" t="s">
        <v>358</v>
      </c>
      <c r="K419" t="s">
        <v>763</v>
      </c>
      <c r="L419">
        <v>9</v>
      </c>
      <c r="M419">
        <v>2.16</v>
      </c>
      <c r="N419">
        <v>0.24</v>
      </c>
      <c r="O419">
        <v>3</v>
      </c>
      <c r="P419">
        <v>0.08977506465822516</v>
      </c>
      <c r="Q419">
        <v>0.517247387440616</v>
      </c>
      <c r="R419" t="s">
        <v>765</v>
      </c>
      <c r="S419" t="s">
        <v>772</v>
      </c>
      <c r="T419">
        <v>24714.189562</v>
      </c>
      <c r="U419" s="2">
        <v>44402</v>
      </c>
      <c r="V419" t="s">
        <v>783</v>
      </c>
    </row>
    <row r="420" spans="1:22">
      <c r="A420" s="1" t="s">
        <v>440</v>
      </c>
      <c r="B420">
        <f>HYPERLINK("https://www.suredividend.com/sure-analysis-ABB/","ABB Ltd.")</f>
        <v>0</v>
      </c>
      <c r="C420">
        <v>35.06</v>
      </c>
      <c r="D420">
        <v>21</v>
      </c>
      <c r="E420">
        <v>1.66952380952381</v>
      </c>
      <c r="F420">
        <v>0.02424415288077581</v>
      </c>
      <c r="G420">
        <v>-0.09742878956066603</v>
      </c>
      <c r="H420">
        <v>0.08</v>
      </c>
      <c r="I420">
        <v>0.002757950980813551</v>
      </c>
      <c r="J420" t="s">
        <v>358</v>
      </c>
      <c r="K420" t="s">
        <v>498</v>
      </c>
      <c r="L420">
        <v>1.3</v>
      </c>
      <c r="M420">
        <v>0.85</v>
      </c>
      <c r="N420">
        <v>0.6538461538461539</v>
      </c>
      <c r="O420">
        <v>2</v>
      </c>
      <c r="P420">
        <v>0.03303780411393231</v>
      </c>
      <c r="Q420">
        <v>0.479662928803662</v>
      </c>
      <c r="R420" t="s">
        <v>765</v>
      </c>
      <c r="S420" t="s">
        <v>772</v>
      </c>
      <c r="T420">
        <v>73256.33005999999</v>
      </c>
      <c r="U420" s="2">
        <v>44400</v>
      </c>
      <c r="V420" t="s">
        <v>787</v>
      </c>
    </row>
    <row r="421" spans="1:22">
      <c r="A421" s="1" t="s">
        <v>441</v>
      </c>
      <c r="B421">
        <f>HYPERLINK("https://www.suredividend.com/sure-analysis-RACE/","Ferrari N.V.")</f>
        <v>0</v>
      </c>
      <c r="C421">
        <v>216.18</v>
      </c>
      <c r="D421">
        <v>146</v>
      </c>
      <c r="E421">
        <v>1.480684931506849</v>
      </c>
      <c r="F421">
        <v>0.004810805809973171</v>
      </c>
      <c r="G421">
        <v>-0.07549882246451223</v>
      </c>
      <c r="H421">
        <v>0.075</v>
      </c>
      <c r="I421">
        <v>-8.577081313954071e-05</v>
      </c>
      <c r="J421" t="s">
        <v>358</v>
      </c>
      <c r="K421" t="s">
        <v>763</v>
      </c>
      <c r="L421">
        <v>5.02</v>
      </c>
      <c r="M421">
        <v>1.04</v>
      </c>
      <c r="N421">
        <v>0.2071713147410359</v>
      </c>
      <c r="O421">
        <v>0</v>
      </c>
      <c r="P421">
        <v>0.07455979142129743</v>
      </c>
      <c r="Q421">
        <v>0.201608047320511</v>
      </c>
      <c r="R421" t="s">
        <v>765</v>
      </c>
      <c r="S421" t="s">
        <v>775</v>
      </c>
      <c r="T421">
        <v>40112.461877</v>
      </c>
      <c r="U421" s="2">
        <v>44412</v>
      </c>
      <c r="V421" t="s">
        <v>781</v>
      </c>
    </row>
    <row r="422" spans="1:22">
      <c r="A422" s="1" t="s">
        <v>442</v>
      </c>
      <c r="B422">
        <f>HYPERLINK("https://www.suredividend.com/sure-analysis-TER/","Teradyne, Inc.")</f>
        <v>0</v>
      </c>
      <c r="C422">
        <v>119.27</v>
      </c>
      <c r="D422">
        <v>79</v>
      </c>
      <c r="E422">
        <v>1.509746835443038</v>
      </c>
      <c r="F422">
        <v>0.003353735222604176</v>
      </c>
      <c r="G422">
        <v>-0.0790857898231011</v>
      </c>
      <c r="H422">
        <v>0.08</v>
      </c>
      <c r="I422">
        <v>-0.0008701815489262632</v>
      </c>
      <c r="J422" t="s">
        <v>358</v>
      </c>
      <c r="K422" t="s">
        <v>763</v>
      </c>
      <c r="L422">
        <v>4.4</v>
      </c>
      <c r="M422">
        <v>0.4</v>
      </c>
      <c r="N422">
        <v>0.09090909090909091</v>
      </c>
      <c r="O422">
        <v>0</v>
      </c>
      <c r="P422">
        <v>0.09856054330611763</v>
      </c>
      <c r="Q422">
        <v>0.5930011188524641</v>
      </c>
      <c r="R422" t="s">
        <v>765</v>
      </c>
      <c r="S422" t="s">
        <v>777</v>
      </c>
      <c r="T422">
        <v>19908.729277</v>
      </c>
      <c r="U422" s="2">
        <v>44406</v>
      </c>
      <c r="V422" t="s">
        <v>791</v>
      </c>
    </row>
    <row r="423" spans="1:22">
      <c r="A423" s="1" t="s">
        <v>443</v>
      </c>
      <c r="B423">
        <f>HYPERLINK("https://www.suredividend.com/sure-analysis-GS/","Goldman Sachs Group, Inc.")</f>
        <v>0</v>
      </c>
      <c r="C423">
        <v>391.04</v>
      </c>
      <c r="D423">
        <v>583</v>
      </c>
      <c r="E423">
        <v>0.67073756432247</v>
      </c>
      <c r="F423">
        <v>0.0204582651391162</v>
      </c>
      <c r="G423">
        <v>0.08315216996137931</v>
      </c>
      <c r="H423">
        <v>-0.1</v>
      </c>
      <c r="I423">
        <v>-0.0008862434360785709</v>
      </c>
      <c r="J423" t="s">
        <v>358</v>
      </c>
      <c r="K423" t="s">
        <v>498</v>
      </c>
      <c r="L423">
        <v>53</v>
      </c>
      <c r="M423">
        <v>8</v>
      </c>
      <c r="N423">
        <v>0.1509433962264151</v>
      </c>
      <c r="O423">
        <v>10</v>
      </c>
      <c r="P423">
        <v>0.03993111034207586</v>
      </c>
      <c r="Q423">
        <v>1.142745827124714</v>
      </c>
      <c r="R423" t="s">
        <v>765</v>
      </c>
      <c r="S423" t="s">
        <v>773</v>
      </c>
      <c r="T423">
        <v>132095.021648</v>
      </c>
      <c r="U423" s="2">
        <v>44394</v>
      </c>
      <c r="V423" t="s">
        <v>785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62.24</v>
      </c>
      <c r="D424">
        <v>36</v>
      </c>
      <c r="E424">
        <v>1.728888888888889</v>
      </c>
      <c r="F424">
        <v>0.009640102827763496</v>
      </c>
      <c r="G424">
        <v>-0.1037140607429387</v>
      </c>
      <c r="H424">
        <v>0.1</v>
      </c>
      <c r="I424">
        <v>-0.003507576208141128</v>
      </c>
      <c r="J424" t="s">
        <v>358</v>
      </c>
      <c r="K424" t="s">
        <v>763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0.8879341284507071</v>
      </c>
      <c r="R424" t="s">
        <v>765</v>
      </c>
      <c r="S424" t="s">
        <v>773</v>
      </c>
      <c r="T424">
        <v>37109.921431</v>
      </c>
      <c r="U424" s="2">
        <v>44396</v>
      </c>
      <c r="V424" t="s">
        <v>791</v>
      </c>
    </row>
    <row r="425" spans="1:22">
      <c r="A425" s="1" t="s">
        <v>445</v>
      </c>
      <c r="B425">
        <f>HYPERLINK("https://www.suredividend.com/sure-analysis-AVB/","Avalonbay Communities Inc.")</f>
        <v>0</v>
      </c>
      <c r="C425">
        <v>227.25</v>
      </c>
      <c r="D425">
        <v>142</v>
      </c>
      <c r="E425">
        <v>1.600352112676056</v>
      </c>
      <c r="F425">
        <v>0.02798679867986799</v>
      </c>
      <c r="G425">
        <v>-0.0897579584308511</v>
      </c>
      <c r="H425">
        <v>0.059</v>
      </c>
      <c r="I425">
        <v>-0.003921664966836991</v>
      </c>
      <c r="J425" t="s">
        <v>358</v>
      </c>
      <c r="K425" t="s">
        <v>358</v>
      </c>
      <c r="L425">
        <v>7.9</v>
      </c>
      <c r="M425">
        <v>6.36</v>
      </c>
      <c r="N425">
        <v>0.8050632911392405</v>
      </c>
      <c r="O425">
        <v>10</v>
      </c>
      <c r="P425">
        <v>0.01936140157470034</v>
      </c>
      <c r="Q425">
        <v>0.603286288928739</v>
      </c>
      <c r="R425" t="s">
        <v>767</v>
      </c>
      <c r="S425" t="s">
        <v>779</v>
      </c>
      <c r="T425">
        <v>31730.701954</v>
      </c>
      <c r="U425" s="2">
        <v>44411</v>
      </c>
      <c r="V425" t="s">
        <v>790</v>
      </c>
    </row>
    <row r="426" spans="1:22">
      <c r="A426" s="1" t="s">
        <v>446</v>
      </c>
      <c r="B426">
        <f>HYPERLINK("https://www.suredividend.com/sure-analysis-AUY/","Yamana Gold Inc.")</f>
        <v>0</v>
      </c>
      <c r="C426">
        <v>4</v>
      </c>
      <c r="D426">
        <v>3.29</v>
      </c>
      <c r="E426">
        <v>1.21580547112462</v>
      </c>
      <c r="F426">
        <v>0.0275</v>
      </c>
      <c r="G426">
        <v>-0.03832753500484332</v>
      </c>
      <c r="H426">
        <v>0.02</v>
      </c>
      <c r="I426">
        <v>-0.004947800682603476</v>
      </c>
      <c r="J426" t="s">
        <v>358</v>
      </c>
      <c r="K426" t="s">
        <v>358</v>
      </c>
      <c r="L426">
        <v>4.7</v>
      </c>
      <c r="M426">
        <v>0.11</v>
      </c>
      <c r="N426">
        <v>0.02340425531914894</v>
      </c>
      <c r="O426">
        <v>0</v>
      </c>
      <c r="P426">
        <v>-0.2288378350232393</v>
      </c>
      <c r="Q426">
        <v>-0.24097231446517</v>
      </c>
      <c r="R426" t="s">
        <v>765</v>
      </c>
      <c r="S426" t="s">
        <v>771</v>
      </c>
      <c r="T426">
        <v>3852.449044</v>
      </c>
      <c r="U426" s="2">
        <v>44443</v>
      </c>
      <c r="V426" t="s">
        <v>786</v>
      </c>
    </row>
    <row r="427" spans="1:22">
      <c r="A427" s="1" t="s">
        <v>447</v>
      </c>
      <c r="B427">
        <f>HYPERLINK("https://www.suredividend.com/sure-analysis-APA/","APA Corporation")</f>
        <v>0</v>
      </c>
      <c r="C427">
        <v>22.135</v>
      </c>
      <c r="D427">
        <v>16</v>
      </c>
      <c r="E427">
        <v>1.3834375</v>
      </c>
      <c r="F427">
        <v>0.0112943302462164</v>
      </c>
      <c r="G427">
        <v>-0.062852197250299</v>
      </c>
      <c r="H427">
        <v>0.04</v>
      </c>
      <c r="I427">
        <v>-0.006752402004369662</v>
      </c>
      <c r="J427" t="s">
        <v>358</v>
      </c>
      <c r="K427" t="s">
        <v>498</v>
      </c>
      <c r="L427">
        <v>2.95</v>
      </c>
      <c r="M427">
        <v>0.25</v>
      </c>
      <c r="N427">
        <v>0.0847457627118644</v>
      </c>
      <c r="O427">
        <v>1</v>
      </c>
      <c r="P427">
        <v>0.1486983549970351</v>
      </c>
      <c r="Q427">
        <v>0.107819539591433</v>
      </c>
      <c r="R427" t="s">
        <v>765</v>
      </c>
      <c r="S427" t="s">
        <v>778</v>
      </c>
      <c r="T427">
        <v>8142.58395</v>
      </c>
      <c r="U427" s="2">
        <v>44432</v>
      </c>
      <c r="V427" t="s">
        <v>787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219.81</v>
      </c>
      <c r="D428">
        <v>104</v>
      </c>
      <c r="E428">
        <v>2.113557692307692</v>
      </c>
      <c r="F428">
        <v>0.0007279013693644511</v>
      </c>
      <c r="G428">
        <v>-0.1390118412389304</v>
      </c>
      <c r="H428">
        <v>0.15</v>
      </c>
      <c r="I428">
        <v>-0.009107430607481981</v>
      </c>
      <c r="J428" t="s">
        <v>358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0.8563166951254551</v>
      </c>
      <c r="R428" t="s">
        <v>765</v>
      </c>
      <c r="S428" t="s">
        <v>777</v>
      </c>
      <c r="T428">
        <v>560251.4399999999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HYPERLINK("https://www.suredividend.com/sure-analysis-TRGP/","Targa Resources Corp")</f>
        <v>0</v>
      </c>
      <c r="C429">
        <v>47.275</v>
      </c>
      <c r="D429">
        <v>36</v>
      </c>
      <c r="E429">
        <v>1.313194444444444</v>
      </c>
      <c r="F429">
        <v>0.008461131676361713</v>
      </c>
      <c r="G429">
        <v>-0.05303442227665867</v>
      </c>
      <c r="H429">
        <v>0.03</v>
      </c>
      <c r="I429">
        <v>-0.01149741661610248</v>
      </c>
      <c r="J429" t="s">
        <v>358</v>
      </c>
      <c r="K429" t="s">
        <v>763</v>
      </c>
      <c r="L429">
        <v>5.2</v>
      </c>
      <c r="M429">
        <v>0.4</v>
      </c>
      <c r="N429">
        <v>0.07692307692307693</v>
      </c>
      <c r="O429">
        <v>0</v>
      </c>
      <c r="P429">
        <v>0.1247461131420948</v>
      </c>
      <c r="Q429">
        <v>2.437930284803246</v>
      </c>
      <c r="R429" t="s">
        <v>765</v>
      </c>
      <c r="S429" t="s">
        <v>778</v>
      </c>
      <c r="T429">
        <v>10847.406199</v>
      </c>
      <c r="U429" s="2">
        <v>44438</v>
      </c>
      <c r="V429" t="s">
        <v>787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60.375</v>
      </c>
      <c r="D430">
        <v>49</v>
      </c>
      <c r="E430">
        <v>1.232142857142857</v>
      </c>
      <c r="F430">
        <v>0.01722567287784679</v>
      </c>
      <c r="G430">
        <v>-0.04089139541895315</v>
      </c>
      <c r="H430">
        <v>0</v>
      </c>
      <c r="I430">
        <v>-0.01842802806766908</v>
      </c>
      <c r="J430" t="s">
        <v>358</v>
      </c>
      <c r="K430" t="s">
        <v>498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1.091906721536351</v>
      </c>
      <c r="R430" t="s">
        <v>765</v>
      </c>
      <c r="S430" t="s">
        <v>771</v>
      </c>
      <c r="T430">
        <v>12077.418457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30.43</v>
      </c>
      <c r="D431">
        <v>25</v>
      </c>
      <c r="E431">
        <v>1.2172</v>
      </c>
      <c r="F431">
        <v>0.009858692080184028</v>
      </c>
      <c r="G431">
        <v>-0.03854799097370487</v>
      </c>
      <c r="H431">
        <v>0</v>
      </c>
      <c r="I431">
        <v>-0.02134904839207952</v>
      </c>
      <c r="J431" t="s">
        <v>358</v>
      </c>
      <c r="K431" t="s">
        <v>498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1.535035035035035</v>
      </c>
      <c r="R431" t="s">
        <v>765</v>
      </c>
      <c r="S431" t="s">
        <v>771</v>
      </c>
      <c r="T431">
        <v>31387.088971</v>
      </c>
      <c r="U431" s="2">
        <v>44434</v>
      </c>
      <c r="V431" t="s">
        <v>787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66.27</v>
      </c>
      <c r="D432">
        <v>48</v>
      </c>
      <c r="E432">
        <v>1.380625</v>
      </c>
      <c r="F432">
        <v>0.008450279161007998</v>
      </c>
      <c r="G432">
        <v>-0.06247069132394989</v>
      </c>
      <c r="H432">
        <v>0.03</v>
      </c>
      <c r="I432">
        <v>-0.02422477114846</v>
      </c>
      <c r="J432" t="s">
        <v>358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2.080703950517286</v>
      </c>
      <c r="R432" t="s">
        <v>765</v>
      </c>
      <c r="S432" t="s">
        <v>777</v>
      </c>
      <c r="T432">
        <v>4148.171992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HYPERLINK("https://www.suredividend.com/sure-analysis-INFY/","Infosys Ltd")</f>
        <v>0</v>
      </c>
      <c r="C433">
        <v>23.695</v>
      </c>
      <c r="D433">
        <v>13</v>
      </c>
      <c r="E433">
        <v>1.822692307692308</v>
      </c>
      <c r="F433">
        <v>0.01688119856509812</v>
      </c>
      <c r="G433">
        <v>-0.1131353839362308</v>
      </c>
      <c r="H433">
        <v>0.06</v>
      </c>
      <c r="I433">
        <v>-0.03394317382938816</v>
      </c>
      <c r="J433" t="s">
        <v>358</v>
      </c>
      <c r="K433" t="s">
        <v>498</v>
      </c>
      <c r="L433">
        <v>0.68</v>
      </c>
      <c r="M433">
        <v>0.4</v>
      </c>
      <c r="N433">
        <v>0.5882352941176471</v>
      </c>
      <c r="O433">
        <v>6</v>
      </c>
      <c r="P433">
        <v>0.08083252207959757</v>
      </c>
      <c r="Q433">
        <v>0.783432788708683</v>
      </c>
      <c r="R433" t="s">
        <v>765</v>
      </c>
      <c r="S433" t="s">
        <v>777</v>
      </c>
      <c r="T433">
        <v>101119.978936</v>
      </c>
      <c r="U433" s="2">
        <v>44403</v>
      </c>
      <c r="V433" t="s">
        <v>783</v>
      </c>
    </row>
    <row r="434" spans="1:22">
      <c r="A434" s="1" t="s">
        <v>454</v>
      </c>
      <c r="B434">
        <f>HYPERLINK("https://www.suredividend.com/sure-analysis-GE/","General Electric Co.")</f>
        <v>0</v>
      </c>
      <c r="C434">
        <v>103.55</v>
      </c>
      <c r="D434">
        <v>58</v>
      </c>
      <c r="E434">
        <v>1.785344827586207</v>
      </c>
      <c r="F434">
        <v>0.003090294543698696</v>
      </c>
      <c r="G434">
        <v>-0.1094555978565359</v>
      </c>
      <c r="H434">
        <v>0.08</v>
      </c>
      <c r="I434">
        <v>-0.03462740798074937</v>
      </c>
      <c r="J434" t="s">
        <v>358</v>
      </c>
      <c r="K434" t="s">
        <v>763</v>
      </c>
      <c r="L434">
        <v>1.6</v>
      </c>
      <c r="M434">
        <v>0.32</v>
      </c>
      <c r="N434">
        <v>0.2</v>
      </c>
      <c r="O434">
        <v>0</v>
      </c>
      <c r="P434">
        <v>0</v>
      </c>
      <c r="Q434">
        <v>1.114971806538418</v>
      </c>
      <c r="R434" t="s">
        <v>765</v>
      </c>
      <c r="S434" t="s">
        <v>772</v>
      </c>
      <c r="T434">
        <v>113256</v>
      </c>
      <c r="U434" s="2">
        <v>44404</v>
      </c>
      <c r="V434" t="s">
        <v>784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99.06999999999999</v>
      </c>
      <c r="D435">
        <v>65</v>
      </c>
      <c r="E435">
        <v>1.524153846153846</v>
      </c>
      <c r="F435">
        <v>0.009690118098314323</v>
      </c>
      <c r="G435">
        <v>-0.08083339187990146</v>
      </c>
      <c r="H435">
        <v>0.03</v>
      </c>
      <c r="I435">
        <v>-0.03756134326343052</v>
      </c>
      <c r="J435" t="s">
        <v>358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0.384885540759888</v>
      </c>
      <c r="R435" t="s">
        <v>765</v>
      </c>
      <c r="S435" t="s">
        <v>777</v>
      </c>
      <c r="T435">
        <v>17324.51053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114.48</v>
      </c>
      <c r="D436">
        <v>67</v>
      </c>
      <c r="E436">
        <v>1.708656716417911</v>
      </c>
      <c r="F436">
        <v>0.01415094339622642</v>
      </c>
      <c r="G436">
        <v>-0.1016014622468164</v>
      </c>
      <c r="H436">
        <v>0.05</v>
      </c>
      <c r="I436">
        <v>-0.03896256706552415</v>
      </c>
      <c r="J436" t="s">
        <v>358</v>
      </c>
      <c r="K436" t="s">
        <v>498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0.490529664269938</v>
      </c>
      <c r="R436" t="s">
        <v>765</v>
      </c>
      <c r="S436" t="s">
        <v>772</v>
      </c>
      <c r="T436">
        <v>56318.764758</v>
      </c>
      <c r="U436" s="2">
        <v>44419</v>
      </c>
      <c r="V436" t="s">
        <v>782</v>
      </c>
    </row>
    <row r="437" spans="1:22">
      <c r="A437" s="1" t="s">
        <v>457</v>
      </c>
      <c r="B437">
        <f>HYPERLINK("https://www.suredividend.com/sure-analysis-SONY/","Sony Group Corporation")</f>
        <v>0</v>
      </c>
      <c r="C437">
        <v>116.98</v>
      </c>
      <c r="D437">
        <v>83</v>
      </c>
      <c r="E437">
        <v>1.409397590361446</v>
      </c>
      <c r="F437">
        <v>0.004616173704906822</v>
      </c>
      <c r="G437">
        <v>-0.06633023547216221</v>
      </c>
      <c r="H437">
        <v>0.017</v>
      </c>
      <c r="I437">
        <v>-0.04454189582601298</v>
      </c>
      <c r="J437" t="s">
        <v>358</v>
      </c>
      <c r="K437" t="s">
        <v>763</v>
      </c>
      <c r="L437">
        <v>6.36</v>
      </c>
      <c r="M437">
        <v>0.54</v>
      </c>
      <c r="N437">
        <v>0.08490566037735849</v>
      </c>
      <c r="O437">
        <v>3</v>
      </c>
      <c r="P437">
        <v>0.01786844354535022</v>
      </c>
      <c r="Q437">
        <v>0.502417526383362</v>
      </c>
      <c r="R437" t="s">
        <v>765</v>
      </c>
      <c r="S437" t="s">
        <v>777</v>
      </c>
      <c r="T437">
        <v>145652.289206</v>
      </c>
      <c r="U437" s="2">
        <v>44422</v>
      </c>
      <c r="V437" t="s">
        <v>781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49.17</v>
      </c>
      <c r="D438">
        <v>29</v>
      </c>
      <c r="E438">
        <v>1.69551724137931</v>
      </c>
      <c r="F438">
        <v>0.01627008338417734</v>
      </c>
      <c r="G438">
        <v>-0.1002133238809779</v>
      </c>
      <c r="H438">
        <v>0.03</v>
      </c>
      <c r="I438">
        <v>-0.05214634739722923</v>
      </c>
      <c r="J438" t="s">
        <v>358</v>
      </c>
      <c r="K438" t="s">
        <v>498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3.122675128548051</v>
      </c>
      <c r="R438" t="s">
        <v>765</v>
      </c>
      <c r="S438" t="s">
        <v>771</v>
      </c>
      <c r="T438">
        <v>7963.731293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3.54</v>
      </c>
      <c r="D439">
        <v>1.98</v>
      </c>
      <c r="E439">
        <v>1.787878787878788</v>
      </c>
      <c r="F439">
        <v>0.01129943502824859</v>
      </c>
      <c r="G439">
        <v>-0.1097081747730442</v>
      </c>
      <c r="H439">
        <v>-0.01</v>
      </c>
      <c r="I439">
        <v>-0.1006359035913557</v>
      </c>
      <c r="J439" t="s">
        <v>358</v>
      </c>
      <c r="K439" t="s">
        <v>763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0.169800254162729</v>
      </c>
      <c r="R439" t="s">
        <v>767</v>
      </c>
      <c r="S439" t="s">
        <v>779</v>
      </c>
      <c r="T439">
        <v>855.764713</v>
      </c>
      <c r="U439" s="2">
        <v>44453</v>
      </c>
      <c r="V439" t="s">
        <v>788</v>
      </c>
    </row>
    <row r="440" spans="1:22">
      <c r="A440" s="1" t="s">
        <v>460</v>
      </c>
      <c r="B440">
        <f>HYPERLINK("https://www.suredividend.com/sure-analysis-ERF/","Enerplus Corporation")</f>
        <v>0</v>
      </c>
      <c r="C440">
        <v>6.955</v>
      </c>
      <c r="D440">
        <v>2.11</v>
      </c>
      <c r="E440">
        <v>3.296208530805687</v>
      </c>
      <c r="F440">
        <v>0.01725377426312006</v>
      </c>
      <c r="G440">
        <v>-0.212234305683749</v>
      </c>
      <c r="H440">
        <v>0.1</v>
      </c>
      <c r="I440">
        <v>-0.1009380235250957</v>
      </c>
      <c r="J440" t="s">
        <v>358</v>
      </c>
      <c r="K440" t="s">
        <v>498</v>
      </c>
      <c r="L440">
        <v>1.92</v>
      </c>
      <c r="M440">
        <v>0.12</v>
      </c>
      <c r="N440">
        <v>0.0625</v>
      </c>
      <c r="O440">
        <v>2</v>
      </c>
      <c r="P440">
        <v>0.04563955259127317</v>
      </c>
      <c r="Q440">
        <v>2.988355167394468</v>
      </c>
      <c r="R440" t="s">
        <v>765</v>
      </c>
      <c r="S440" t="s">
        <v>778</v>
      </c>
      <c r="T440">
        <v>1758.738185</v>
      </c>
      <c r="U440" s="2">
        <v>44443</v>
      </c>
      <c r="V440" t="s">
        <v>786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12.04</v>
      </c>
      <c r="D441">
        <v>19</v>
      </c>
      <c r="E441">
        <v>0.6336842105263157</v>
      </c>
      <c r="F441">
        <v>0.09966777408637874</v>
      </c>
      <c r="G441">
        <v>0.09553289595292291</v>
      </c>
      <c r="H441">
        <v>0.04</v>
      </c>
      <c r="I441">
        <v>0.1931698023669517</v>
      </c>
      <c r="J441" t="s">
        <v>498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0.498889249432144</v>
      </c>
      <c r="R441" t="s">
        <v>766</v>
      </c>
      <c r="S441" t="s">
        <v>778</v>
      </c>
      <c r="T441">
        <v>4723.407339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10.33</v>
      </c>
      <c r="D442">
        <v>18</v>
      </c>
      <c r="E442">
        <v>0.5738888888888889</v>
      </c>
      <c r="F442">
        <v>0.08809293320425944</v>
      </c>
      <c r="G442">
        <v>0.1174663050303959</v>
      </c>
      <c r="H442">
        <v>0.01</v>
      </c>
      <c r="I442">
        <v>0.1783541105840638</v>
      </c>
      <c r="J442" t="s">
        <v>498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0.526369913324518</v>
      </c>
      <c r="R442" t="s">
        <v>765</v>
      </c>
      <c r="S442" t="s">
        <v>778</v>
      </c>
      <c r="T442">
        <v>66924.697895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1.625</v>
      </c>
      <c r="D443">
        <v>1.35</v>
      </c>
      <c r="E443">
        <v>1.203703703703704</v>
      </c>
      <c r="F443">
        <v>0.02461538461538462</v>
      </c>
      <c r="G443">
        <v>-0.03640157685769696</v>
      </c>
      <c r="H443">
        <v>0.19</v>
      </c>
      <c r="I443">
        <v>0.1644043152382646</v>
      </c>
      <c r="J443" t="s">
        <v>498</v>
      </c>
      <c r="K443" t="s">
        <v>498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-0.476879359338672</v>
      </c>
      <c r="R443" t="s">
        <v>765</v>
      </c>
      <c r="S443" t="s">
        <v>771</v>
      </c>
      <c r="T443">
        <v>120.741717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92.09999999999999</v>
      </c>
      <c r="D444">
        <v>96</v>
      </c>
      <c r="E444">
        <v>0.959375</v>
      </c>
      <c r="F444">
        <v>0.05320304017372422</v>
      </c>
      <c r="G444">
        <v>0.008329145558871431</v>
      </c>
      <c r="H444">
        <v>0.1</v>
      </c>
      <c r="I444">
        <v>0.1552158002999438</v>
      </c>
      <c r="J444" t="s">
        <v>498</v>
      </c>
      <c r="K444" t="s">
        <v>358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0.054278595738213</v>
      </c>
      <c r="R444" t="s">
        <v>765</v>
      </c>
      <c r="S444" t="s">
        <v>773</v>
      </c>
      <c r="T444">
        <v>53583.497332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15.165</v>
      </c>
      <c r="D445">
        <v>21</v>
      </c>
      <c r="E445">
        <v>0.7221428571428571</v>
      </c>
      <c r="F445">
        <v>0.08572370590174745</v>
      </c>
      <c r="G445">
        <v>0.06727263945219009</v>
      </c>
      <c r="H445">
        <v>0.01</v>
      </c>
      <c r="I445">
        <v>0.1493497141929174</v>
      </c>
      <c r="J445" t="s">
        <v>498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0.132425696258429</v>
      </c>
      <c r="R445" t="s">
        <v>766</v>
      </c>
      <c r="S445" t="s">
        <v>776</v>
      </c>
      <c r="T445">
        <v>946.196717</v>
      </c>
      <c r="U445" s="2">
        <v>44429</v>
      </c>
      <c r="V445" t="s">
        <v>785</v>
      </c>
    </row>
    <row r="446" spans="1:22">
      <c r="A446" s="1" t="s">
        <v>466</v>
      </c>
      <c r="B446">
        <f>HYPERLINK("https://www.suredividend.com/sure-analysis-TPR/","Tapestry Inc")</f>
        <v>0</v>
      </c>
      <c r="C446">
        <v>39.74</v>
      </c>
      <c r="D446">
        <v>50</v>
      </c>
      <c r="E446">
        <v>0.7948000000000001</v>
      </c>
      <c r="F446">
        <v>0.02516356316054353</v>
      </c>
      <c r="G446">
        <v>0.04700421080426986</v>
      </c>
      <c r="H446">
        <v>0.07000000000000001</v>
      </c>
      <c r="I446">
        <v>0.135832562168009</v>
      </c>
      <c r="J446" t="s">
        <v>498</v>
      </c>
      <c r="K446" t="s">
        <v>498</v>
      </c>
      <c r="L446">
        <v>3.33</v>
      </c>
      <c r="M446">
        <v>1</v>
      </c>
      <c r="N446">
        <v>0.3003003003003003</v>
      </c>
      <c r="O446">
        <v>0</v>
      </c>
      <c r="P446">
        <v>0</v>
      </c>
      <c r="Q446">
        <v>1.447249194864112</v>
      </c>
      <c r="R446" t="s">
        <v>765</v>
      </c>
      <c r="S446" t="s">
        <v>775</v>
      </c>
      <c r="T446">
        <v>11280.858513</v>
      </c>
      <c r="U446" s="2">
        <v>44436</v>
      </c>
      <c r="V446" t="s">
        <v>786</v>
      </c>
    </row>
    <row r="447" spans="1:22">
      <c r="A447" s="1" t="s">
        <v>467</v>
      </c>
      <c r="B447">
        <f>HYPERLINK("https://www.suredividend.com/sure-analysis-PAA/","Plains All American Pipeline LP")</f>
        <v>0</v>
      </c>
      <c r="C447">
        <v>10.055</v>
      </c>
      <c r="D447">
        <v>11.4</v>
      </c>
      <c r="E447">
        <v>0.882017543859649</v>
      </c>
      <c r="F447">
        <v>0.07160616608652412</v>
      </c>
      <c r="G447">
        <v>0.02542654391738064</v>
      </c>
      <c r="H447">
        <v>0.05</v>
      </c>
      <c r="I447">
        <v>0.1354938333557927</v>
      </c>
      <c r="J447" t="s">
        <v>498</v>
      </c>
      <c r="K447" t="s">
        <v>762</v>
      </c>
      <c r="L447">
        <v>1.9</v>
      </c>
      <c r="M447">
        <v>0.72</v>
      </c>
      <c r="N447">
        <v>0.3789473684210526</v>
      </c>
      <c r="O447">
        <v>0</v>
      </c>
      <c r="P447">
        <v>0.07003448782339894</v>
      </c>
      <c r="Q447">
        <v>0.9512005140887581</v>
      </c>
      <c r="R447" t="s">
        <v>766</v>
      </c>
      <c r="S447" t="s">
        <v>778</v>
      </c>
      <c r="T447">
        <v>7188.063192</v>
      </c>
      <c r="U447" s="2">
        <v>44416</v>
      </c>
      <c r="V447" t="s">
        <v>780</v>
      </c>
    </row>
    <row r="448" spans="1:22">
      <c r="A448" s="1" t="s">
        <v>468</v>
      </c>
      <c r="B448">
        <f>HYPERLINK("https://www.suredividend.com/sure-analysis-HSBC/","HSBC Holdings plc")</f>
        <v>0</v>
      </c>
      <c r="C448">
        <v>25.64</v>
      </c>
      <c r="D448">
        <v>37</v>
      </c>
      <c r="E448">
        <v>0.692972972972973</v>
      </c>
      <c r="F448">
        <v>0.04290171606864275</v>
      </c>
      <c r="G448">
        <v>0.07611018199245612</v>
      </c>
      <c r="H448">
        <v>0.03</v>
      </c>
      <c r="I448">
        <v>0.1354634462884063</v>
      </c>
      <c r="J448" t="s">
        <v>498</v>
      </c>
      <c r="K448" t="s">
        <v>358</v>
      </c>
      <c r="L448">
        <v>3.12</v>
      </c>
      <c r="M448">
        <v>1.1</v>
      </c>
      <c r="N448">
        <v>0.3525641025641026</v>
      </c>
      <c r="O448">
        <v>0</v>
      </c>
      <c r="P448">
        <v>0</v>
      </c>
      <c r="Q448">
        <v>0.455856667981294</v>
      </c>
      <c r="R448" t="s">
        <v>765</v>
      </c>
      <c r="S448" t="s">
        <v>773</v>
      </c>
      <c r="T448">
        <v>105561.765495</v>
      </c>
      <c r="U448" s="2">
        <v>44417</v>
      </c>
      <c r="V448" t="s">
        <v>786</v>
      </c>
    </row>
    <row r="449" spans="1:22">
      <c r="A449" s="1" t="s">
        <v>469</v>
      </c>
      <c r="B449">
        <f>HYPERLINK("https://www.suredividend.com/sure-analysis-UNIT/","Uniti Group Inc")</f>
        <v>0</v>
      </c>
      <c r="C449">
        <v>12.7</v>
      </c>
      <c r="D449">
        <v>16.2</v>
      </c>
      <c r="E449">
        <v>0.7839506172839507</v>
      </c>
      <c r="F449">
        <v>0.04724409448818898</v>
      </c>
      <c r="G449">
        <v>0.04988627602367712</v>
      </c>
      <c r="H449">
        <v>0.043</v>
      </c>
      <c r="I449">
        <v>0.1342966796532461</v>
      </c>
      <c r="J449" t="s">
        <v>498</v>
      </c>
      <c r="K449" t="s">
        <v>358</v>
      </c>
      <c r="L449">
        <v>1.62</v>
      </c>
      <c r="M449">
        <v>0.6</v>
      </c>
      <c r="N449">
        <v>0.3703703703703703</v>
      </c>
      <c r="O449">
        <v>0</v>
      </c>
      <c r="P449">
        <v>0.08447177119769855</v>
      </c>
      <c r="Q449">
        <v>0.421975374732334</v>
      </c>
      <c r="R449" t="s">
        <v>767</v>
      </c>
      <c r="S449" t="s">
        <v>779</v>
      </c>
      <c r="T449">
        <v>2975.943929</v>
      </c>
      <c r="U449" s="2">
        <v>44447</v>
      </c>
      <c r="V449" t="s">
        <v>790</v>
      </c>
    </row>
    <row r="450" spans="1:22">
      <c r="A450" s="1" t="s">
        <v>470</v>
      </c>
      <c r="B450">
        <f>HYPERLINK("https://www.suredividend.com/sure-analysis-HEP/","Holly Energy Partners L.P.")</f>
        <v>0</v>
      </c>
      <c r="C450">
        <v>18.93</v>
      </c>
      <c r="D450">
        <v>25</v>
      </c>
      <c r="E450">
        <v>0.7572</v>
      </c>
      <c r="F450">
        <v>0.07395668251452721</v>
      </c>
      <c r="G450">
        <v>0.05720176360284368</v>
      </c>
      <c r="H450">
        <v>0.02</v>
      </c>
      <c r="I450">
        <v>0.1338706305371282</v>
      </c>
      <c r="J450" t="s">
        <v>498</v>
      </c>
      <c r="K450" t="s">
        <v>762</v>
      </c>
      <c r="L450">
        <v>2.8</v>
      </c>
      <c r="M450">
        <v>1.4</v>
      </c>
      <c r="N450">
        <v>0.5</v>
      </c>
      <c r="O450">
        <v>0</v>
      </c>
      <c r="P450">
        <v>0.03959498820755258</v>
      </c>
      <c r="Q450">
        <v>0.6582721901741051</v>
      </c>
      <c r="R450" t="s">
        <v>766</v>
      </c>
      <c r="S450" t="s">
        <v>778</v>
      </c>
      <c r="T450">
        <v>2006.527025</v>
      </c>
      <c r="U450" s="2">
        <v>44428</v>
      </c>
      <c r="V450" t="s">
        <v>787</v>
      </c>
    </row>
    <row r="451" spans="1:22">
      <c r="A451" s="1" t="s">
        <v>471</v>
      </c>
      <c r="B451">
        <f>HYPERLINK("https://www.suredividend.com/sure-analysis-TGP/","Teekay LNG Partners LP")</f>
        <v>0</v>
      </c>
      <c r="C451">
        <v>15.8</v>
      </c>
      <c r="D451">
        <v>18.5</v>
      </c>
      <c r="E451">
        <v>0.8540540540540541</v>
      </c>
      <c r="F451">
        <v>0.07278481012658226</v>
      </c>
      <c r="G451">
        <v>0.03205520455059929</v>
      </c>
      <c r="H451">
        <v>0.04</v>
      </c>
      <c r="I451">
        <v>0.1290508294521251</v>
      </c>
      <c r="J451" t="s">
        <v>498</v>
      </c>
      <c r="K451" t="s">
        <v>762</v>
      </c>
      <c r="L451">
        <v>3.7</v>
      </c>
      <c r="M451">
        <v>1.15</v>
      </c>
      <c r="N451">
        <v>0.3108108108108107</v>
      </c>
      <c r="O451">
        <v>3</v>
      </c>
      <c r="P451">
        <v>0.04012620718096094</v>
      </c>
      <c r="Q451">
        <v>0.665389902721081</v>
      </c>
      <c r="R451" t="s">
        <v>766</v>
      </c>
      <c r="S451" t="s">
        <v>778</v>
      </c>
      <c r="T451">
        <v>1379.916084</v>
      </c>
      <c r="U451" s="2">
        <v>44413</v>
      </c>
      <c r="V451" t="s">
        <v>780</v>
      </c>
    </row>
    <row r="452" spans="1:22">
      <c r="A452" s="1" t="s">
        <v>472</v>
      </c>
      <c r="B452">
        <f>HYPERLINK("https://www.suredividend.com/sure-analysis-BHP/","BHP Group Limited")</f>
        <v>0</v>
      </c>
      <c r="C452">
        <v>54.55</v>
      </c>
      <c r="D452">
        <v>105</v>
      </c>
      <c r="E452">
        <v>0.5195238095238095</v>
      </c>
      <c r="F452">
        <v>0.06599450045829515</v>
      </c>
      <c r="G452">
        <v>0.1399319043268465</v>
      </c>
      <c r="H452">
        <v>-0.05</v>
      </c>
      <c r="I452">
        <v>0.1243750944010182</v>
      </c>
      <c r="J452" t="s">
        <v>498</v>
      </c>
      <c r="K452" t="s">
        <v>762</v>
      </c>
      <c r="L452">
        <v>7.5</v>
      </c>
      <c r="M452">
        <v>3.6</v>
      </c>
      <c r="N452">
        <v>0.48</v>
      </c>
      <c r="O452">
        <v>0</v>
      </c>
      <c r="P452">
        <v>-0.02328131613882611</v>
      </c>
      <c r="Q452">
        <v>0.190937195099526</v>
      </c>
      <c r="R452" t="s">
        <v>765</v>
      </c>
      <c r="S452" t="s">
        <v>771</v>
      </c>
      <c r="T452">
        <v>81205.66962</v>
      </c>
      <c r="U452" s="2">
        <v>44447</v>
      </c>
      <c r="V452" t="s">
        <v>787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32.05</v>
      </c>
      <c r="D453">
        <v>41</v>
      </c>
      <c r="E453">
        <v>0.7817073170731706</v>
      </c>
      <c r="F453">
        <v>0.04118564742589704</v>
      </c>
      <c r="G453">
        <v>0.05048816656717015</v>
      </c>
      <c r="H453">
        <v>0.04</v>
      </c>
      <c r="I453">
        <v>0.1241140191687866</v>
      </c>
      <c r="J453" t="s">
        <v>498</v>
      </c>
      <c r="K453" t="s">
        <v>358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0.687689884995307</v>
      </c>
      <c r="R453" t="s">
        <v>765</v>
      </c>
      <c r="S453" t="s">
        <v>773</v>
      </c>
      <c r="T453">
        <v>2081.798975</v>
      </c>
      <c r="U453" s="2">
        <v>44411</v>
      </c>
      <c r="V453" t="s">
        <v>782</v>
      </c>
    </row>
    <row r="454" spans="1:22">
      <c r="A454" s="1" t="s">
        <v>474</v>
      </c>
      <c r="B454">
        <f>HYPERLINK("https://www.suredividend.com/sure-analysis-ALV/","Autoliv Inc.")</f>
        <v>0</v>
      </c>
      <c r="C454">
        <v>87.63</v>
      </c>
      <c r="D454">
        <v>87</v>
      </c>
      <c r="E454">
        <v>1.007241379310345</v>
      </c>
      <c r="F454">
        <v>0.02830081022480886</v>
      </c>
      <c r="G454">
        <v>-0.001442016576134519</v>
      </c>
      <c r="H454">
        <v>0.1</v>
      </c>
      <c r="I454">
        <v>0.1207279072201448</v>
      </c>
      <c r="J454" t="s">
        <v>498</v>
      </c>
      <c r="K454" t="s">
        <v>498</v>
      </c>
      <c r="L454">
        <v>6.2</v>
      </c>
      <c r="M454">
        <v>2.48</v>
      </c>
      <c r="N454">
        <v>0.4</v>
      </c>
      <c r="O454">
        <v>0</v>
      </c>
      <c r="P454">
        <v>0.06007667938522787</v>
      </c>
      <c r="Q454">
        <v>0.25092287709372</v>
      </c>
      <c r="R454" t="s">
        <v>765</v>
      </c>
      <c r="S454" t="s">
        <v>775</v>
      </c>
      <c r="T454">
        <v>7573.327405</v>
      </c>
      <c r="U454" s="2">
        <v>44397</v>
      </c>
      <c r="V454" t="s">
        <v>785</v>
      </c>
    </row>
    <row r="455" spans="1:22">
      <c r="A455" s="1" t="s">
        <v>475</v>
      </c>
      <c r="B455">
        <f>HYPERLINK("https://www.suredividend.com/sure-analysis-SLG/","SL Green Realty Corp.")</f>
        <v>0</v>
      </c>
      <c r="C455">
        <v>73.48999999999999</v>
      </c>
      <c r="D455">
        <v>85</v>
      </c>
      <c r="E455">
        <v>0.8645882352941175</v>
      </c>
      <c r="F455">
        <v>0.04953054837392843</v>
      </c>
      <c r="G455">
        <v>0.02952793617470073</v>
      </c>
      <c r="H455">
        <v>0.05</v>
      </c>
      <c r="I455">
        <v>0.118946173049179</v>
      </c>
      <c r="J455" t="s">
        <v>498</v>
      </c>
      <c r="K455" t="s">
        <v>358</v>
      </c>
      <c r="L455">
        <v>6.5</v>
      </c>
      <c r="M455">
        <v>3.64</v>
      </c>
      <c r="N455">
        <v>0.5600000000000001</v>
      </c>
      <c r="O455">
        <v>10</v>
      </c>
      <c r="P455">
        <v>0.0386524708023015</v>
      </c>
      <c r="Q455">
        <v>0.724730854102385</v>
      </c>
      <c r="R455" t="s">
        <v>767</v>
      </c>
      <c r="S455" t="s">
        <v>779</v>
      </c>
      <c r="T455">
        <v>5008.743569</v>
      </c>
      <c r="U455" s="2">
        <v>44400</v>
      </c>
      <c r="V455" t="s">
        <v>787</v>
      </c>
    </row>
    <row r="456" spans="1:22">
      <c r="A456" s="1" t="s">
        <v>476</v>
      </c>
      <c r="B456">
        <f>HYPERLINK("https://www.suredividend.com/sure-analysis-PFE/","Pfizer Inc.")</f>
        <v>0</v>
      </c>
      <c r="C456">
        <v>44.29</v>
      </c>
      <c r="D456">
        <v>54</v>
      </c>
      <c r="E456">
        <v>0.8201851851851851</v>
      </c>
      <c r="F456">
        <v>0.03522239783246783</v>
      </c>
      <c r="G456">
        <v>0.04044137871010012</v>
      </c>
      <c r="H456">
        <v>0.05</v>
      </c>
      <c r="I456">
        <v>0.1168354011539314</v>
      </c>
      <c r="J456" t="s">
        <v>498</v>
      </c>
      <c r="K456" t="s">
        <v>358</v>
      </c>
      <c r="L456">
        <v>4</v>
      </c>
      <c r="M456">
        <v>1.56</v>
      </c>
      <c r="N456">
        <v>0.39</v>
      </c>
      <c r="O456">
        <v>11</v>
      </c>
      <c r="P456">
        <v>0.01005227214699711</v>
      </c>
      <c r="Q456">
        <v>0.277433454360445</v>
      </c>
      <c r="R456" t="s">
        <v>765</v>
      </c>
      <c r="S456" t="s">
        <v>770</v>
      </c>
      <c r="T456">
        <v>247759.558452</v>
      </c>
      <c r="U456" s="2">
        <v>44409</v>
      </c>
      <c r="V456" t="s">
        <v>788</v>
      </c>
    </row>
    <row r="457" spans="1:22">
      <c r="A457" s="1" t="s">
        <v>477</v>
      </c>
      <c r="B457">
        <f>HYPERLINK("https://www.suredividend.com/sure-analysis-ERIC/","Telefonaktiebolaget L M Ericsson")</f>
        <v>0</v>
      </c>
      <c r="C457">
        <v>11.59</v>
      </c>
      <c r="D457">
        <v>12</v>
      </c>
      <c r="E457">
        <v>0.9658333333333333</v>
      </c>
      <c r="F457">
        <v>0.02070750647109577</v>
      </c>
      <c r="G457">
        <v>0.006977025306186269</v>
      </c>
      <c r="H457">
        <v>0.09</v>
      </c>
      <c r="I457">
        <v>0.1165284499137336</v>
      </c>
      <c r="J457" t="s">
        <v>498</v>
      </c>
      <c r="K457" t="s">
        <v>498</v>
      </c>
      <c r="L457">
        <v>0.75</v>
      </c>
      <c r="M457">
        <v>0.24</v>
      </c>
      <c r="N457">
        <v>0.32</v>
      </c>
      <c r="O457">
        <v>2</v>
      </c>
      <c r="P457">
        <v>0.1075663432482901</v>
      </c>
      <c r="Q457">
        <v>0.093069535373345</v>
      </c>
      <c r="R457" t="s">
        <v>765</v>
      </c>
      <c r="S457" t="s">
        <v>777</v>
      </c>
      <c r="T457">
        <v>34933.1397</v>
      </c>
      <c r="U457" s="2">
        <v>44393</v>
      </c>
      <c r="V457" t="s">
        <v>787</v>
      </c>
    </row>
    <row r="458" spans="1:22">
      <c r="A458" s="1" t="s">
        <v>478</v>
      </c>
      <c r="B458">
        <f>HYPERLINK("https://www.suredividend.com/sure-analysis-BP/","BP plc")</f>
        <v>0</v>
      </c>
      <c r="C458">
        <v>26.26</v>
      </c>
      <c r="D458">
        <v>38</v>
      </c>
      <c r="E458">
        <v>0.6910526315789474</v>
      </c>
      <c r="F458">
        <v>0.04912414318354912</v>
      </c>
      <c r="G458">
        <v>0.07670759111794623</v>
      </c>
      <c r="H458">
        <v>0</v>
      </c>
      <c r="I458">
        <v>0.1140724452439024</v>
      </c>
      <c r="J458" t="s">
        <v>498</v>
      </c>
      <c r="K458" t="s">
        <v>762</v>
      </c>
      <c r="L458">
        <v>3.2</v>
      </c>
      <c r="M458">
        <v>1.29</v>
      </c>
      <c r="N458">
        <v>0.403125</v>
      </c>
      <c r="O458">
        <v>0</v>
      </c>
      <c r="P458">
        <v>0.03062413800126618</v>
      </c>
      <c r="Q458">
        <v>0.5421527650869821</v>
      </c>
      <c r="R458" t="s">
        <v>765</v>
      </c>
      <c r="S458" t="s">
        <v>778</v>
      </c>
      <c r="T458">
        <v>87442.22895600001</v>
      </c>
      <c r="U458" s="2">
        <v>44425</v>
      </c>
      <c r="V458" t="s">
        <v>787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13.74</v>
      </c>
      <c r="D459">
        <v>17</v>
      </c>
      <c r="E459">
        <v>0.8082352941176471</v>
      </c>
      <c r="F459">
        <v>0.04366812227074236</v>
      </c>
      <c r="G459">
        <v>0.0434999623476866</v>
      </c>
      <c r="H459">
        <v>0.035</v>
      </c>
      <c r="I459">
        <v>0.11397725640898</v>
      </c>
      <c r="J459" t="s">
        <v>498</v>
      </c>
      <c r="K459" t="s">
        <v>358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-0.137747097583934</v>
      </c>
      <c r="R459" t="s">
        <v>765</v>
      </c>
      <c r="S459" t="s">
        <v>770</v>
      </c>
      <c r="T459">
        <v>53994.027547</v>
      </c>
      <c r="U459" s="2">
        <v>44434</v>
      </c>
      <c r="V459" t="s">
        <v>783</v>
      </c>
    </row>
    <row r="460" spans="1:22">
      <c r="A460" s="1" t="s">
        <v>480</v>
      </c>
      <c r="B460">
        <f>HYPERLINK("https://www.suredividend.com/sure-analysis-SNY/","Sanofi")</f>
        <v>0</v>
      </c>
      <c r="C460">
        <v>48.19</v>
      </c>
      <c r="D460">
        <v>59</v>
      </c>
      <c r="E460">
        <v>0.8167796610169491</v>
      </c>
      <c r="F460">
        <v>0.04004980286366466</v>
      </c>
      <c r="G460">
        <v>0.04130754955335525</v>
      </c>
      <c r="H460">
        <v>0.04</v>
      </c>
      <c r="I460">
        <v>0.1139536806209909</v>
      </c>
      <c r="J460" t="s">
        <v>498</v>
      </c>
      <c r="K460" t="s">
        <v>762</v>
      </c>
      <c r="L460">
        <v>3.7</v>
      </c>
      <c r="M460">
        <v>1.93</v>
      </c>
      <c r="N460">
        <v>0.5216216216216216</v>
      </c>
      <c r="O460">
        <v>27</v>
      </c>
      <c r="P460">
        <v>0.04016469901021225</v>
      </c>
      <c r="Q460">
        <v>-0.000984251968503</v>
      </c>
      <c r="R460" t="s">
        <v>765</v>
      </c>
      <c r="S460" t="s">
        <v>770</v>
      </c>
      <c r="T460">
        <v>123108.912982</v>
      </c>
      <c r="U460" s="2">
        <v>44408</v>
      </c>
      <c r="V460" t="s">
        <v>781</v>
      </c>
    </row>
    <row r="461" spans="1:22">
      <c r="A461" s="1" t="s">
        <v>481</v>
      </c>
      <c r="B461">
        <f>HYPERLINK("https://www.suredividend.com/sure-analysis-SU/","Suncor Energy, Inc.")</f>
        <v>0</v>
      </c>
      <c r="C461">
        <v>20.32</v>
      </c>
      <c r="D461">
        <v>23</v>
      </c>
      <c r="E461">
        <v>0.8834782608695653</v>
      </c>
      <c r="F461">
        <v>0.03346456692913386</v>
      </c>
      <c r="G461">
        <v>0.02508723741690067</v>
      </c>
      <c r="H461">
        <v>0.06</v>
      </c>
      <c r="I461">
        <v>0.1138762133633069</v>
      </c>
      <c r="J461" t="s">
        <v>498</v>
      </c>
      <c r="K461" t="s">
        <v>498</v>
      </c>
      <c r="L461">
        <v>1.8</v>
      </c>
      <c r="M461">
        <v>0.68</v>
      </c>
      <c r="N461">
        <v>0.3777777777777778</v>
      </c>
      <c r="O461">
        <v>0</v>
      </c>
      <c r="P461">
        <v>0.06000153927394081</v>
      </c>
      <c r="Q461">
        <v>0.6739144867879431</v>
      </c>
      <c r="R461" t="s">
        <v>765</v>
      </c>
      <c r="S461" t="s">
        <v>778</v>
      </c>
      <c r="T461">
        <v>29911.155535</v>
      </c>
      <c r="U461" s="2">
        <v>44435</v>
      </c>
      <c r="V461" t="s">
        <v>787</v>
      </c>
    </row>
    <row r="462" spans="1:22">
      <c r="A462" s="1" t="s">
        <v>482</v>
      </c>
      <c r="B462">
        <f>HYPERLINK("https://www.suredividend.com/sure-analysis-GEL/","Genesis Energy L.P.")</f>
        <v>0</v>
      </c>
      <c r="C462">
        <v>8.890000000000001</v>
      </c>
      <c r="D462">
        <v>10</v>
      </c>
      <c r="E462">
        <v>0.889</v>
      </c>
      <c r="F462">
        <v>0.06749156355455567</v>
      </c>
      <c r="G462">
        <v>0.02381066155273825</v>
      </c>
      <c r="H462">
        <v>0.04</v>
      </c>
      <c r="I462">
        <v>0.1127481679280706</v>
      </c>
      <c r="J462" t="s">
        <v>498</v>
      </c>
      <c r="K462" t="s">
        <v>762</v>
      </c>
      <c r="L462">
        <v>2</v>
      </c>
      <c r="M462">
        <v>0.6</v>
      </c>
      <c r="N462">
        <v>0.3</v>
      </c>
      <c r="O462">
        <v>0</v>
      </c>
      <c r="P462">
        <v>0</v>
      </c>
      <c r="Q462">
        <v>1.090095980943929</v>
      </c>
      <c r="R462" t="s">
        <v>766</v>
      </c>
      <c r="S462" t="s">
        <v>778</v>
      </c>
      <c r="T462">
        <v>1096.726028</v>
      </c>
      <c r="U462" s="2">
        <v>44434</v>
      </c>
      <c r="V462" t="s">
        <v>787</v>
      </c>
    </row>
    <row r="463" spans="1:22">
      <c r="A463" s="1" t="s">
        <v>483</v>
      </c>
      <c r="B463">
        <f>HYPERLINK("https://www.suredividend.com/sure-analysis-MFC/","Manulife Financial Corp.")</f>
        <v>0</v>
      </c>
      <c r="C463">
        <v>19.37</v>
      </c>
      <c r="D463">
        <v>19.95</v>
      </c>
      <c r="E463">
        <v>0.9709273182957394</v>
      </c>
      <c r="F463">
        <v>0.04594734124935467</v>
      </c>
      <c r="G463">
        <v>0.005918176802614195</v>
      </c>
      <c r="H463">
        <v>0.065</v>
      </c>
      <c r="I463">
        <v>0.1111866208681294</v>
      </c>
      <c r="J463" t="s">
        <v>498</v>
      </c>
      <c r="K463" t="s">
        <v>762</v>
      </c>
      <c r="L463">
        <v>2.66</v>
      </c>
      <c r="M463">
        <v>0.89</v>
      </c>
      <c r="N463">
        <v>0.3345864661654135</v>
      </c>
      <c r="O463">
        <v>6</v>
      </c>
      <c r="P463">
        <v>0.070296243794991</v>
      </c>
      <c r="Q463">
        <v>0.494390253306087</v>
      </c>
      <c r="R463" t="s">
        <v>765</v>
      </c>
      <c r="S463" t="s">
        <v>773</v>
      </c>
      <c r="T463">
        <v>37640.959497</v>
      </c>
      <c r="U463" s="2">
        <v>44418</v>
      </c>
      <c r="V463" t="s">
        <v>780</v>
      </c>
    </row>
    <row r="464" spans="1:22">
      <c r="A464" s="1" t="s">
        <v>484</v>
      </c>
      <c r="B464">
        <f>HYPERLINK("https://www.suredividend.com/sure-analysis-WASH/","Washington Trust Bancorp, Inc.")</f>
        <v>0</v>
      </c>
      <c r="C464">
        <v>51.67</v>
      </c>
      <c r="D464">
        <v>59</v>
      </c>
      <c r="E464">
        <v>0.8757627118644068</v>
      </c>
      <c r="F464">
        <v>0.0402554673892007</v>
      </c>
      <c r="G464">
        <v>0.02688712799105675</v>
      </c>
      <c r="H464">
        <v>0.05</v>
      </c>
      <c r="I464">
        <v>0.1107346171197539</v>
      </c>
      <c r="J464" t="s">
        <v>498</v>
      </c>
      <c r="K464" t="s">
        <v>358</v>
      </c>
      <c r="L464">
        <v>4.2</v>
      </c>
      <c r="M464">
        <v>2.08</v>
      </c>
      <c r="N464">
        <v>0.4952380952380953</v>
      </c>
      <c r="O464">
        <v>10</v>
      </c>
      <c r="P464">
        <v>0.04963065931551602</v>
      </c>
      <c r="Q464">
        <v>0.7714572574045671</v>
      </c>
      <c r="R464" t="s">
        <v>765</v>
      </c>
      <c r="S464" t="s">
        <v>773</v>
      </c>
      <c r="T464">
        <v>892.349532</v>
      </c>
      <c r="U464" s="2">
        <v>44399</v>
      </c>
      <c r="V464" t="s">
        <v>781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9.335000000000001</v>
      </c>
      <c r="D465">
        <v>11</v>
      </c>
      <c r="E465">
        <v>0.8486363636363637</v>
      </c>
      <c r="F465">
        <v>0.06534547402249598</v>
      </c>
      <c r="G465">
        <v>0.03336957951823227</v>
      </c>
      <c r="H465">
        <v>0.02</v>
      </c>
      <c r="I465">
        <v>0.1094090418094777</v>
      </c>
      <c r="J465" t="s">
        <v>498</v>
      </c>
      <c r="K465" t="s">
        <v>762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0.856343648527053</v>
      </c>
      <c r="R465" t="s">
        <v>766</v>
      </c>
      <c r="S465" t="s">
        <v>778</v>
      </c>
      <c r="T465">
        <v>25669.215275</v>
      </c>
      <c r="U465" s="2">
        <v>44438</v>
      </c>
      <c r="V465" t="s">
        <v>787</v>
      </c>
    </row>
    <row r="466" spans="1:22">
      <c r="A466" s="1" t="s">
        <v>486</v>
      </c>
      <c r="B466">
        <f>HYPERLINK("https://www.suredividend.com/sure-analysis-TAP/","Molson Coors Beverage Company")</f>
        <v>0</v>
      </c>
      <c r="C466">
        <v>46.57</v>
      </c>
      <c r="D466">
        <v>58</v>
      </c>
      <c r="E466">
        <v>0.8029310344827586</v>
      </c>
      <c r="F466">
        <v>0.02920334979600601</v>
      </c>
      <c r="G466">
        <v>0.04487503100483092</v>
      </c>
      <c r="H466">
        <v>0.04</v>
      </c>
      <c r="I466">
        <v>0.1092643441763661</v>
      </c>
      <c r="J466" t="s">
        <v>498</v>
      </c>
      <c r="K466" t="s">
        <v>498</v>
      </c>
      <c r="L466">
        <v>4.15</v>
      </c>
      <c r="M466">
        <v>1.36</v>
      </c>
      <c r="N466">
        <v>0.327710843373494</v>
      </c>
      <c r="O466">
        <v>0</v>
      </c>
      <c r="P466">
        <v>0.03941506521508265</v>
      </c>
      <c r="Q466">
        <v>0.411624281399201</v>
      </c>
      <c r="R466" t="s">
        <v>765</v>
      </c>
      <c r="S466" t="s">
        <v>774</v>
      </c>
      <c r="T466">
        <v>10061.001211</v>
      </c>
      <c r="U466" s="2">
        <v>44411</v>
      </c>
      <c r="V466" t="s">
        <v>784</v>
      </c>
    </row>
    <row r="467" spans="1:22">
      <c r="A467" s="1" t="s">
        <v>487</v>
      </c>
      <c r="B467">
        <f>HYPERLINK("https://www.suredividend.com/sure-analysis-AZN/","Astrazeneca plc")</f>
        <v>0</v>
      </c>
      <c r="C467">
        <v>60.79</v>
      </c>
      <c r="D467">
        <v>78</v>
      </c>
      <c r="E467">
        <v>0.7793589743589744</v>
      </c>
      <c r="F467">
        <v>0.02303010363546636</v>
      </c>
      <c r="G467">
        <v>0.05112046526193414</v>
      </c>
      <c r="H467">
        <v>0.04</v>
      </c>
      <c r="I467">
        <v>0.1088364480081889</v>
      </c>
      <c r="J467" t="s">
        <v>498</v>
      </c>
      <c r="K467" t="s">
        <v>498</v>
      </c>
      <c r="L467">
        <v>5.19</v>
      </c>
      <c r="M467">
        <v>1.4</v>
      </c>
      <c r="N467">
        <v>0.2697495183044316</v>
      </c>
      <c r="O467">
        <v>0</v>
      </c>
      <c r="P467">
        <v>0</v>
      </c>
      <c r="Q467">
        <v>0.09801460204354701</v>
      </c>
      <c r="R467" t="s">
        <v>765</v>
      </c>
      <c r="S467" t="s">
        <v>770</v>
      </c>
      <c r="T467">
        <v>184282.854706</v>
      </c>
      <c r="U467" s="2">
        <v>44409</v>
      </c>
      <c r="V467" t="s">
        <v>781</v>
      </c>
    </row>
    <row r="468" spans="1:22">
      <c r="A468" s="1" t="s">
        <v>488</v>
      </c>
      <c r="B468">
        <f>HYPERLINK("https://www.suredividend.com/sure-analysis-DD/","DuPont de Nemours Inc")</f>
        <v>0</v>
      </c>
      <c r="C468">
        <v>68.72</v>
      </c>
      <c r="D468">
        <v>77</v>
      </c>
      <c r="E468">
        <v>0.8924675324675324</v>
      </c>
      <c r="F468">
        <v>0.01746216530849825</v>
      </c>
      <c r="G468">
        <v>0.02301385342276685</v>
      </c>
      <c r="H468">
        <v>0.07000000000000001</v>
      </c>
      <c r="I468">
        <v>0.1088110443801997</v>
      </c>
      <c r="J468" t="s">
        <v>498</v>
      </c>
      <c r="K468" t="s">
        <v>763</v>
      </c>
      <c r="L468">
        <v>4.25</v>
      </c>
      <c r="M468">
        <v>1.2</v>
      </c>
      <c r="N468">
        <v>0.2823529411764706</v>
      </c>
      <c r="O468">
        <v>0</v>
      </c>
      <c r="P468">
        <v>0.06054457313435013</v>
      </c>
      <c r="Q468">
        <v>0.282485602284276</v>
      </c>
      <c r="R468" t="s">
        <v>765</v>
      </c>
      <c r="S468" t="s">
        <v>771</v>
      </c>
      <c r="T468">
        <v>36038.606079</v>
      </c>
      <c r="U468" s="2">
        <v>44427</v>
      </c>
      <c r="V468" t="s">
        <v>785</v>
      </c>
    </row>
    <row r="469" spans="1:22">
      <c r="A469" s="1" t="s">
        <v>489</v>
      </c>
      <c r="B469">
        <f>HYPERLINK("https://www.suredividend.com/sure-analysis-AVAL/","Grupo Aval Acciones y Valores S.A.")</f>
        <v>0</v>
      </c>
      <c r="C469">
        <v>5.69</v>
      </c>
      <c r="D469">
        <v>6.1</v>
      </c>
      <c r="E469">
        <v>0.9327868852459018</v>
      </c>
      <c r="F469">
        <v>0.04393673110720562</v>
      </c>
      <c r="G469">
        <v>0.01401297871442275</v>
      </c>
      <c r="H469">
        <v>0.06</v>
      </c>
      <c r="I469">
        <v>0.1086729157411459</v>
      </c>
      <c r="J469" t="s">
        <v>498</v>
      </c>
      <c r="K469" t="s">
        <v>358</v>
      </c>
      <c r="L469">
        <v>0.61</v>
      </c>
      <c r="M469">
        <v>0.25</v>
      </c>
      <c r="N469">
        <v>0.4098360655737705</v>
      </c>
      <c r="O469">
        <v>0</v>
      </c>
      <c r="P469">
        <v>0.03012896281839894</v>
      </c>
      <c r="Q469">
        <v>0.30179139307694</v>
      </c>
      <c r="R469" t="s">
        <v>765</v>
      </c>
      <c r="S469" t="s">
        <v>773</v>
      </c>
      <c r="T469">
        <v>2034.123619</v>
      </c>
      <c r="U469" s="2">
        <v>44404</v>
      </c>
      <c r="V469" t="s">
        <v>786</v>
      </c>
    </row>
    <row r="470" spans="1:22">
      <c r="A470" s="1" t="s">
        <v>490</v>
      </c>
      <c r="B470">
        <f>HYPERLINK("https://www.suredividend.com/sure-analysis-TFC/","Truist Financial Corporation")</f>
        <v>0</v>
      </c>
      <c r="C470">
        <v>57.91</v>
      </c>
      <c r="D470">
        <v>64</v>
      </c>
      <c r="E470">
        <v>0.9048437499999999</v>
      </c>
      <c r="F470">
        <v>0.03315489552754274</v>
      </c>
      <c r="G470">
        <v>0.02019991217884698</v>
      </c>
      <c r="H470">
        <v>0.06</v>
      </c>
      <c r="I470">
        <v>0.1081810758142681</v>
      </c>
      <c r="J470" t="s">
        <v>498</v>
      </c>
      <c r="K470" t="s">
        <v>358</v>
      </c>
      <c r="L470">
        <v>4.9</v>
      </c>
      <c r="M470">
        <v>1.92</v>
      </c>
      <c r="N470">
        <v>0.3918367346938775</v>
      </c>
      <c r="O470">
        <v>10</v>
      </c>
      <c r="P470">
        <v>0.04996052445273014</v>
      </c>
      <c r="Q470">
        <v>0.666141346221194</v>
      </c>
      <c r="R470" t="s">
        <v>765</v>
      </c>
      <c r="S470" t="s">
        <v>773</v>
      </c>
      <c r="T470">
        <v>76777.210984</v>
      </c>
      <c r="U470" s="2">
        <v>44396</v>
      </c>
      <c r="V470" t="s">
        <v>782</v>
      </c>
    </row>
    <row r="471" spans="1:22">
      <c r="A471" s="1" t="s">
        <v>491</v>
      </c>
      <c r="B471">
        <f>HYPERLINK("https://www.suredividend.com/sure-analysis-TRST/","Trustco Bank Corp.")</f>
        <v>0</v>
      </c>
      <c r="C471">
        <v>31.04</v>
      </c>
      <c r="D471">
        <v>36</v>
      </c>
      <c r="E471">
        <v>0.8622222222222222</v>
      </c>
      <c r="F471">
        <v>0.04381443298969073</v>
      </c>
      <c r="G471">
        <v>0.03009233991718241</v>
      </c>
      <c r="H471">
        <v>0.045</v>
      </c>
      <c r="I471">
        <v>0.1081557993058797</v>
      </c>
      <c r="J471" t="s">
        <v>498</v>
      </c>
      <c r="K471" t="s">
        <v>358</v>
      </c>
      <c r="L471">
        <v>2.9</v>
      </c>
      <c r="M471">
        <v>1.36</v>
      </c>
      <c r="N471">
        <v>0.4689655172413794</v>
      </c>
      <c r="O471">
        <v>0</v>
      </c>
      <c r="P471">
        <v>0.0100884981090783</v>
      </c>
      <c r="Q471">
        <v>0.267231431938667</v>
      </c>
      <c r="R471" t="s">
        <v>765</v>
      </c>
      <c r="S471" t="s">
        <v>773</v>
      </c>
      <c r="T471">
        <v>594.516079</v>
      </c>
      <c r="U471" s="2">
        <v>44399</v>
      </c>
      <c r="V471" t="s">
        <v>782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12.745</v>
      </c>
      <c r="D472">
        <v>14</v>
      </c>
      <c r="E472">
        <v>0.9103571428571428</v>
      </c>
      <c r="F472">
        <v>0.0533542565712044</v>
      </c>
      <c r="G472">
        <v>0.01896118103449451</v>
      </c>
      <c r="H472">
        <v>0.05</v>
      </c>
      <c r="I472">
        <v>0.1078402120412372</v>
      </c>
      <c r="J472" t="s">
        <v>498</v>
      </c>
      <c r="K472" t="s">
        <v>358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0.6082966272737651</v>
      </c>
      <c r="R472" t="s">
        <v>765</v>
      </c>
      <c r="S472" t="s">
        <v>773</v>
      </c>
      <c r="T472">
        <v>5891.968262</v>
      </c>
      <c r="U472" s="2">
        <v>44409</v>
      </c>
      <c r="V472" t="s">
        <v>785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26.06</v>
      </c>
      <c r="D473">
        <v>28</v>
      </c>
      <c r="E473">
        <v>0.9307142857142857</v>
      </c>
      <c r="F473">
        <v>0.08442056792018419</v>
      </c>
      <c r="G473">
        <v>0.0144641963012484</v>
      </c>
      <c r="H473">
        <v>0.03</v>
      </c>
      <c r="I473">
        <v>0.1077006504636095</v>
      </c>
      <c r="J473" t="s">
        <v>498</v>
      </c>
      <c r="K473" t="s">
        <v>762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0.383459450787454</v>
      </c>
      <c r="R473" t="s">
        <v>767</v>
      </c>
      <c r="S473" t="s">
        <v>779</v>
      </c>
      <c r="T473">
        <v>1250.409816</v>
      </c>
      <c r="U473" s="2">
        <v>44434</v>
      </c>
      <c r="V473" t="s">
        <v>787</v>
      </c>
    </row>
    <row r="474" spans="1:22">
      <c r="A474" s="1" t="s">
        <v>494</v>
      </c>
      <c r="B474">
        <f>HYPERLINK("https://www.suredividend.com/sure-analysis-RDS.B/","Royal Dutch Shell Plc")</f>
        <v>0</v>
      </c>
      <c r="C474">
        <v>41.745</v>
      </c>
      <c r="D474">
        <v>62</v>
      </c>
      <c r="E474">
        <v>0.6733064516129031</v>
      </c>
      <c r="F474">
        <v>0.03928614205294047</v>
      </c>
      <c r="G474">
        <v>0.08232438878062776</v>
      </c>
      <c r="H474">
        <v>-0.01</v>
      </c>
      <c r="I474">
        <v>0.1067721770318286</v>
      </c>
      <c r="J474" t="s">
        <v>498</v>
      </c>
      <c r="K474" t="s">
        <v>358</v>
      </c>
      <c r="L474">
        <v>5.2</v>
      </c>
      <c r="M474">
        <v>1.64</v>
      </c>
      <c r="N474">
        <v>0.3153846153846154</v>
      </c>
      <c r="O474">
        <v>0</v>
      </c>
      <c r="P474">
        <v>0.07912928578583145</v>
      </c>
      <c r="Q474">
        <v>0.756115492581205</v>
      </c>
      <c r="R474" t="s">
        <v>765</v>
      </c>
      <c r="S474" t="s">
        <v>778</v>
      </c>
      <c r="T474">
        <v>164624.693418</v>
      </c>
      <c r="U474" s="2">
        <v>44425</v>
      </c>
      <c r="V474" t="s">
        <v>787</v>
      </c>
    </row>
    <row r="475" spans="1:22">
      <c r="A475" s="1" t="s">
        <v>495</v>
      </c>
      <c r="B475">
        <f>HYPERLINK("https://www.suredividend.com/sure-analysis-RF/","Regions Financial Corp.")</f>
        <v>0</v>
      </c>
      <c r="C475">
        <v>20.695</v>
      </c>
      <c r="D475">
        <v>25</v>
      </c>
      <c r="E475">
        <v>0.8278</v>
      </c>
      <c r="F475">
        <v>0.03285817830393815</v>
      </c>
      <c r="G475">
        <v>0.03852012175498554</v>
      </c>
      <c r="H475">
        <v>0.04</v>
      </c>
      <c r="I475">
        <v>0.1067685120259572</v>
      </c>
      <c r="J475" t="s">
        <v>498</v>
      </c>
      <c r="K475" t="s">
        <v>358</v>
      </c>
      <c r="L475">
        <v>2.35</v>
      </c>
      <c r="M475">
        <v>0.68</v>
      </c>
      <c r="N475">
        <v>0.2893617021276596</v>
      </c>
      <c r="O475">
        <v>0</v>
      </c>
      <c r="P475">
        <v>0.0505145404837426</v>
      </c>
      <c r="Q475">
        <v>0.95980478807209</v>
      </c>
      <c r="R475" t="s">
        <v>765</v>
      </c>
      <c r="S475" t="s">
        <v>773</v>
      </c>
      <c r="T475">
        <v>19472.601863</v>
      </c>
      <c r="U475" s="2">
        <v>44401</v>
      </c>
      <c r="V475" t="s">
        <v>783</v>
      </c>
    </row>
    <row r="476" spans="1:22">
      <c r="A476" s="1" t="s">
        <v>496</v>
      </c>
      <c r="B476">
        <f>HYPERLINK("https://www.suredividend.com/sure-analysis-PTR/","PetroChina Co. Ltd.")</f>
        <v>0</v>
      </c>
      <c r="C476">
        <v>48.74</v>
      </c>
      <c r="D476">
        <v>90</v>
      </c>
      <c r="E476">
        <v>0.5415555555555556</v>
      </c>
      <c r="F476">
        <v>0.06914238818219122</v>
      </c>
      <c r="G476">
        <v>0.1305021611684625</v>
      </c>
      <c r="H476">
        <v>-0.06</v>
      </c>
      <c r="I476">
        <v>0.1044300812845733</v>
      </c>
      <c r="J476" t="s">
        <v>498</v>
      </c>
      <c r="K476" t="s">
        <v>762</v>
      </c>
      <c r="L476">
        <v>7.5</v>
      </c>
      <c r="M476">
        <v>3.37</v>
      </c>
      <c r="N476">
        <v>0.4493333333333334</v>
      </c>
      <c r="O476">
        <v>0</v>
      </c>
      <c r="P476">
        <v>-0.06024767149116905</v>
      </c>
      <c r="Q476">
        <v>0.795365027022075</v>
      </c>
      <c r="R476" t="s">
        <v>765</v>
      </c>
      <c r="S476" t="s">
        <v>778</v>
      </c>
      <c r="T476">
        <v>10338.461</v>
      </c>
      <c r="U476" s="2">
        <v>44442</v>
      </c>
      <c r="V476" t="s">
        <v>787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103.6</v>
      </c>
      <c r="D477">
        <v>94</v>
      </c>
      <c r="E477">
        <v>1.102127659574468</v>
      </c>
      <c r="F477">
        <v>0.02702702702702703</v>
      </c>
      <c r="G477">
        <v>-0.01926060736057988</v>
      </c>
      <c r="H477">
        <v>0.1</v>
      </c>
      <c r="I477">
        <v>0.1029750182426374</v>
      </c>
      <c r="J477" t="s">
        <v>498</v>
      </c>
      <c r="K477" t="s">
        <v>498</v>
      </c>
      <c r="L477">
        <v>7.25</v>
      </c>
      <c r="M477">
        <v>2.8</v>
      </c>
      <c r="N477">
        <v>0.3862068965517241</v>
      </c>
      <c r="O477">
        <v>8</v>
      </c>
      <c r="P477">
        <v>0.07978367728709435</v>
      </c>
      <c r="Q477">
        <v>1.285054792767266</v>
      </c>
      <c r="R477" t="s">
        <v>765</v>
      </c>
      <c r="S477" t="s">
        <v>773</v>
      </c>
      <c r="T477">
        <v>188933.298799</v>
      </c>
      <c r="U477" s="2">
        <v>44394</v>
      </c>
      <c r="V477" t="s">
        <v>780</v>
      </c>
    </row>
    <row r="478" spans="1:22">
      <c r="A478" s="1" t="s">
        <v>498</v>
      </c>
      <c r="B478">
        <f>HYPERLINK("https://www.suredividend.com/sure-analysis-D/","Dominion Energy Inc")</f>
        <v>0</v>
      </c>
      <c r="C478">
        <v>74.45999999999999</v>
      </c>
      <c r="D478">
        <v>77</v>
      </c>
      <c r="E478">
        <v>0.9670129870129869</v>
      </c>
      <c r="F478">
        <v>0.03384367445608381</v>
      </c>
      <c r="G478">
        <v>0.006731224219525211</v>
      </c>
      <c r="H478">
        <v>0.065</v>
      </c>
      <c r="I478">
        <v>0.1011523045604641</v>
      </c>
      <c r="J478" t="s">
        <v>498</v>
      </c>
      <c r="K478" t="s">
        <v>498</v>
      </c>
      <c r="L478">
        <v>3.85</v>
      </c>
      <c r="M478">
        <v>2.52</v>
      </c>
      <c r="N478">
        <v>0.6545454545454545</v>
      </c>
      <c r="O478">
        <v>16</v>
      </c>
      <c r="P478">
        <v>0.05985358218414349</v>
      </c>
      <c r="Q478">
        <v>0.006578135865005</v>
      </c>
      <c r="R478" t="s">
        <v>765</v>
      </c>
      <c r="S478" t="s">
        <v>776</v>
      </c>
      <c r="T478">
        <v>60038.26868</v>
      </c>
      <c r="U478" s="2">
        <v>44425</v>
      </c>
      <c r="V478" t="s">
        <v>789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95.25</v>
      </c>
      <c r="D479">
        <v>94</v>
      </c>
      <c r="E479">
        <v>1.013297872340426</v>
      </c>
      <c r="F479">
        <v>0.02855643044619423</v>
      </c>
      <c r="G479">
        <v>-0.002638559214641956</v>
      </c>
      <c r="H479">
        <v>0.08</v>
      </c>
      <c r="I479">
        <v>0.1000156996358319</v>
      </c>
      <c r="J479" t="s">
        <v>498</v>
      </c>
      <c r="K479" t="s">
        <v>498</v>
      </c>
      <c r="L479">
        <v>4.7</v>
      </c>
      <c r="M479">
        <v>2.72</v>
      </c>
      <c r="N479">
        <v>0.5787234042553192</v>
      </c>
      <c r="O479">
        <v>16</v>
      </c>
      <c r="P479">
        <v>0.03941506521508265</v>
      </c>
      <c r="Q479">
        <v>0.267480586054097</v>
      </c>
      <c r="R479" t="s">
        <v>765</v>
      </c>
      <c r="S479" t="s">
        <v>775</v>
      </c>
      <c r="T479">
        <v>13031.703049</v>
      </c>
      <c r="U479" s="2">
        <v>44404</v>
      </c>
      <c r="V479" t="s">
        <v>785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21.595</v>
      </c>
      <c r="D480">
        <v>22</v>
      </c>
      <c r="E480">
        <v>0.9815909090909091</v>
      </c>
      <c r="F480">
        <v>0.08520490854364438</v>
      </c>
      <c r="G480">
        <v>0.003723042758954964</v>
      </c>
      <c r="H480">
        <v>0.03</v>
      </c>
      <c r="I480">
        <v>0.09952558490021435</v>
      </c>
      <c r="J480" t="s">
        <v>498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0.291095951835753</v>
      </c>
      <c r="R480" t="s">
        <v>765</v>
      </c>
      <c r="S480" t="s">
        <v>774</v>
      </c>
      <c r="T480">
        <v>20437.682941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HYPERLINK("https://www.suredividend.com/sure-analysis-NEM/","Newmont Corp")</f>
        <v>0</v>
      </c>
      <c r="C481">
        <v>54.38</v>
      </c>
      <c r="D481">
        <v>64</v>
      </c>
      <c r="E481">
        <v>0.8496875</v>
      </c>
      <c r="F481">
        <v>0.04045605001838912</v>
      </c>
      <c r="G481">
        <v>0.03311377953610539</v>
      </c>
      <c r="H481">
        <v>0.03</v>
      </c>
      <c r="I481">
        <v>0.09751735894924241</v>
      </c>
      <c r="J481" t="s">
        <v>498</v>
      </c>
      <c r="K481" t="s">
        <v>358</v>
      </c>
      <c r="L481">
        <v>3.55</v>
      </c>
      <c r="M481">
        <v>2.2</v>
      </c>
      <c r="N481">
        <v>0.619718309859155</v>
      </c>
      <c r="O481">
        <v>6</v>
      </c>
      <c r="P481">
        <v>0.04026125343417397</v>
      </c>
      <c r="Q481">
        <v>-0.072002637195095</v>
      </c>
      <c r="R481" t="s">
        <v>765</v>
      </c>
      <c r="S481" t="s">
        <v>771</v>
      </c>
      <c r="T481">
        <v>43192.766948</v>
      </c>
      <c r="U481" s="2">
        <v>44424</v>
      </c>
      <c r="V481" t="s">
        <v>783</v>
      </c>
    </row>
    <row r="482" spans="1:22">
      <c r="A482" s="1" t="s">
        <v>502</v>
      </c>
      <c r="B482">
        <f>HYPERLINK("https://www.suredividend.com/sure-analysis-PETS/","Petmed Express, Inc.")</f>
        <v>0</v>
      </c>
      <c r="C482">
        <v>26.93</v>
      </c>
      <c r="D482">
        <v>24</v>
      </c>
      <c r="E482">
        <v>1.122083333333333</v>
      </c>
      <c r="F482">
        <v>0.04455997029335314</v>
      </c>
      <c r="G482">
        <v>-0.02277408010692705</v>
      </c>
      <c r="H482">
        <v>0.08</v>
      </c>
      <c r="I482">
        <v>0.09738676810274249</v>
      </c>
      <c r="J482" t="s">
        <v>498</v>
      </c>
      <c r="K482" t="s">
        <v>762</v>
      </c>
      <c r="L482">
        <v>1.33</v>
      </c>
      <c r="M482">
        <v>1.2</v>
      </c>
      <c r="N482">
        <v>0.9022556390977443</v>
      </c>
      <c r="O482">
        <v>13</v>
      </c>
      <c r="P482">
        <v>0.0796084730466029</v>
      </c>
      <c r="Q482">
        <v>-0.09255717587058701</v>
      </c>
      <c r="R482" t="s">
        <v>765</v>
      </c>
      <c r="S482" t="s">
        <v>770</v>
      </c>
      <c r="T482">
        <v>556.140329</v>
      </c>
      <c r="U482" s="2">
        <v>44422</v>
      </c>
      <c r="V482" t="s">
        <v>786</v>
      </c>
    </row>
    <row r="483" spans="1:22">
      <c r="A483" s="1" t="s">
        <v>503</v>
      </c>
      <c r="B483">
        <f>HYPERLINK("https://www.suredividend.com/sure-analysis-CC/","Chemours Company")</f>
        <v>0</v>
      </c>
      <c r="C483">
        <v>27.2</v>
      </c>
      <c r="D483">
        <v>33</v>
      </c>
      <c r="E483">
        <v>0.8242424242424242</v>
      </c>
      <c r="F483">
        <v>0.03676470588235294</v>
      </c>
      <c r="G483">
        <v>0.03941506521508265</v>
      </c>
      <c r="H483">
        <v>0.03</v>
      </c>
      <c r="I483">
        <v>0.09722471054277859</v>
      </c>
      <c r="J483" t="s">
        <v>498</v>
      </c>
      <c r="K483" t="s">
        <v>358</v>
      </c>
      <c r="L483">
        <v>3.33</v>
      </c>
      <c r="M483">
        <v>1</v>
      </c>
      <c r="N483">
        <v>0.3003003003003003</v>
      </c>
      <c r="O483">
        <v>0</v>
      </c>
      <c r="P483">
        <v>0</v>
      </c>
      <c r="Q483">
        <v>0.438951117751974</v>
      </c>
      <c r="R483" t="s">
        <v>765</v>
      </c>
      <c r="S483" t="s">
        <v>771</v>
      </c>
      <c r="T483">
        <v>4517.226894</v>
      </c>
      <c r="U483" s="2">
        <v>44407</v>
      </c>
      <c r="V483" t="s">
        <v>781</v>
      </c>
    </row>
    <row r="484" spans="1:22">
      <c r="A484" s="1" t="s">
        <v>504</v>
      </c>
      <c r="B484">
        <f>HYPERLINK("https://www.suredividend.com/sure-analysis-PGRE/","Paramount Group Inc")</f>
        <v>0</v>
      </c>
      <c r="C484">
        <v>8.92</v>
      </c>
      <c r="D484">
        <v>11</v>
      </c>
      <c r="E484">
        <v>0.8109090909090909</v>
      </c>
      <c r="F484">
        <v>0.03139013452914798</v>
      </c>
      <c r="G484">
        <v>0.04281091000177462</v>
      </c>
      <c r="H484">
        <v>0.03</v>
      </c>
      <c r="I484">
        <v>0.09716957625666001</v>
      </c>
      <c r="J484" t="s">
        <v>498</v>
      </c>
      <c r="K484" t="s">
        <v>498</v>
      </c>
      <c r="L484">
        <v>0.88</v>
      </c>
      <c r="M484">
        <v>0.28</v>
      </c>
      <c r="N484">
        <v>0.3181818181818182</v>
      </c>
      <c r="O484">
        <v>0</v>
      </c>
      <c r="P484">
        <v>0.007042949693310208</v>
      </c>
      <c r="Q484">
        <v>0.360014653356534</v>
      </c>
      <c r="R484" t="s">
        <v>767</v>
      </c>
      <c r="S484" t="s">
        <v>779</v>
      </c>
      <c r="T484">
        <v>1950.94251</v>
      </c>
      <c r="U484" s="2">
        <v>44426</v>
      </c>
      <c r="V484" t="s">
        <v>782</v>
      </c>
    </row>
    <row r="485" spans="1:22">
      <c r="A485" s="1" t="s">
        <v>505</v>
      </c>
      <c r="B485">
        <f>HYPERLINK("https://www.suredividend.com/sure-analysis-DOW/","Dow Inc")</f>
        <v>0</v>
      </c>
      <c r="C485">
        <v>57.095</v>
      </c>
      <c r="D485">
        <v>110</v>
      </c>
      <c r="E485">
        <v>0.5190454545454546</v>
      </c>
      <c r="F485">
        <v>0.04904107189771433</v>
      </c>
      <c r="G485">
        <v>0.1401419403420436</v>
      </c>
      <c r="H485">
        <v>-0.07000000000000001</v>
      </c>
      <c r="I485">
        <v>0.09656601667619813</v>
      </c>
      <c r="J485" t="s">
        <v>498</v>
      </c>
      <c r="K485" t="s">
        <v>762</v>
      </c>
      <c r="L485">
        <v>8.449999999999999</v>
      </c>
      <c r="M485">
        <v>2.8</v>
      </c>
      <c r="N485">
        <v>0.3313609467455622</v>
      </c>
      <c r="O485">
        <v>0</v>
      </c>
      <c r="P485">
        <v>0</v>
      </c>
      <c r="Q485">
        <v>0.268576931912562</v>
      </c>
      <c r="R485" t="s">
        <v>765</v>
      </c>
      <c r="S485" t="s">
        <v>771</v>
      </c>
      <c r="T485">
        <v>42829.673785</v>
      </c>
      <c r="U485" s="2">
        <v>44402</v>
      </c>
      <c r="V485" t="s">
        <v>785</v>
      </c>
    </row>
    <row r="486" spans="1:22">
      <c r="A486" s="1" t="s">
        <v>506</v>
      </c>
      <c r="B486">
        <f>HYPERLINK("https://www.suredividend.com/sure-analysis-SPG/","Simon Property Group, Inc.")</f>
        <v>0</v>
      </c>
      <c r="C486">
        <v>135.84</v>
      </c>
      <c r="D486">
        <v>140</v>
      </c>
      <c r="E486">
        <v>0.9702857142857143</v>
      </c>
      <c r="F486">
        <v>0.0441696113074205</v>
      </c>
      <c r="G486">
        <v>0.006051174843274554</v>
      </c>
      <c r="H486">
        <v>0.05</v>
      </c>
      <c r="I486">
        <v>0.09464421077453866</v>
      </c>
      <c r="J486" t="s">
        <v>498</v>
      </c>
      <c r="K486" t="s">
        <v>358</v>
      </c>
      <c r="L486">
        <v>10.75</v>
      </c>
      <c r="M486">
        <v>6</v>
      </c>
      <c r="N486">
        <v>0.5581395348837209</v>
      </c>
      <c r="O486">
        <v>0</v>
      </c>
      <c r="P486">
        <v>0.05006335758366887</v>
      </c>
      <c r="Q486">
        <v>1.298060798606741</v>
      </c>
      <c r="R486" t="s">
        <v>767</v>
      </c>
      <c r="S486" t="s">
        <v>779</v>
      </c>
      <c r="T486">
        <v>44401.940345</v>
      </c>
      <c r="U486" s="2">
        <v>44413</v>
      </c>
      <c r="V486" t="s">
        <v>780</v>
      </c>
    </row>
    <row r="487" spans="1:22">
      <c r="A487" s="1" t="s">
        <v>507</v>
      </c>
      <c r="B487">
        <f>HYPERLINK("https://www.suredividend.com/sure-analysis-WMB/","Williams Cos Inc")</f>
        <v>0</v>
      </c>
      <c r="C487">
        <v>25.49</v>
      </c>
      <c r="D487">
        <v>24</v>
      </c>
      <c r="E487">
        <v>1.062083333333333</v>
      </c>
      <c r="F487">
        <v>0.06433895645351118</v>
      </c>
      <c r="G487">
        <v>-0.0119742092806473</v>
      </c>
      <c r="H487">
        <v>0.05</v>
      </c>
      <c r="I487">
        <v>0.09365880661834547</v>
      </c>
      <c r="J487" t="s">
        <v>498</v>
      </c>
      <c r="K487" t="s">
        <v>762</v>
      </c>
      <c r="L487">
        <v>3.15</v>
      </c>
      <c r="M487">
        <v>1.64</v>
      </c>
      <c r="N487">
        <v>0.5206349206349207</v>
      </c>
      <c r="O487">
        <v>4</v>
      </c>
      <c r="P487">
        <v>0.04048836820440749</v>
      </c>
      <c r="Q487">
        <v>0.36701767945126</v>
      </c>
      <c r="R487" t="s">
        <v>765</v>
      </c>
      <c r="S487" t="s">
        <v>778</v>
      </c>
      <c r="T487">
        <v>30945.001375</v>
      </c>
      <c r="U487" s="2">
        <v>44427</v>
      </c>
      <c r="V487" t="s">
        <v>787</v>
      </c>
    </row>
    <row r="488" spans="1:22">
      <c r="A488" s="1" t="s">
        <v>508</v>
      </c>
      <c r="B488">
        <f>HYPERLINK("https://www.suredividend.com/sure-analysis-NTR/","Nutrien Ltd")</f>
        <v>0</v>
      </c>
      <c r="C488">
        <v>64.95</v>
      </c>
      <c r="D488">
        <v>82</v>
      </c>
      <c r="E488">
        <v>0.7920731707317074</v>
      </c>
      <c r="F488">
        <v>0.02832948421862971</v>
      </c>
      <c r="G488">
        <v>0.04772411356733408</v>
      </c>
      <c r="H488">
        <v>0.02</v>
      </c>
      <c r="I488">
        <v>0.09079187624175256</v>
      </c>
      <c r="J488" t="s">
        <v>498</v>
      </c>
      <c r="K488" t="s">
        <v>498</v>
      </c>
      <c r="L488">
        <v>4.85</v>
      </c>
      <c r="M488">
        <v>1.84</v>
      </c>
      <c r="N488">
        <v>0.3793814432989691</v>
      </c>
      <c r="O488">
        <v>3</v>
      </c>
      <c r="P488">
        <v>0.01984845658885503</v>
      </c>
      <c r="Q488">
        <v>0.696696460004939</v>
      </c>
      <c r="R488" t="s">
        <v>765</v>
      </c>
      <c r="S488" t="s">
        <v>771</v>
      </c>
      <c r="T488">
        <v>36881.062205</v>
      </c>
      <c r="U488" s="2">
        <v>44445</v>
      </c>
      <c r="V488" t="s">
        <v>786</v>
      </c>
    </row>
    <row r="489" spans="1:22">
      <c r="A489" s="1" t="s">
        <v>509</v>
      </c>
      <c r="B489">
        <f>HYPERLINK("https://www.suredividend.com/sure-analysis-PHG/","Koninklijke Philips N.V.")</f>
        <v>0</v>
      </c>
      <c r="C489">
        <v>45.79</v>
      </c>
      <c r="D489">
        <v>40</v>
      </c>
      <c r="E489">
        <v>1.14475</v>
      </c>
      <c r="F489">
        <v>0.02249399432190435</v>
      </c>
      <c r="G489">
        <v>-0.02667501989730081</v>
      </c>
      <c r="H489">
        <v>0.1</v>
      </c>
      <c r="I489">
        <v>0.08969563486734322</v>
      </c>
      <c r="J489" t="s">
        <v>498</v>
      </c>
      <c r="K489" t="s">
        <v>763</v>
      </c>
      <c r="L489">
        <v>2.2</v>
      </c>
      <c r="M489">
        <v>1.03</v>
      </c>
      <c r="N489">
        <v>0.4681818181818181</v>
      </c>
      <c r="O489">
        <v>1</v>
      </c>
      <c r="P489">
        <v>0.04766208135176786</v>
      </c>
      <c r="Q489">
        <v>0.06342851169998501</v>
      </c>
      <c r="R489" t="s">
        <v>765</v>
      </c>
      <c r="S489" t="s">
        <v>770</v>
      </c>
      <c r="T489">
        <v>42934.271749</v>
      </c>
      <c r="U489" s="2">
        <v>44432</v>
      </c>
      <c r="V489" t="s">
        <v>787</v>
      </c>
    </row>
    <row r="490" spans="1:22">
      <c r="A490" s="1" t="s">
        <v>510</v>
      </c>
      <c r="B490">
        <f>HYPERLINK("https://www.suredividend.com/sure-analysis-SAFE/","Safehold Inc")</f>
        <v>0</v>
      </c>
      <c r="C490">
        <v>77.37</v>
      </c>
      <c r="D490">
        <v>65</v>
      </c>
      <c r="E490">
        <v>1.190307692307692</v>
      </c>
      <c r="F490">
        <v>0.008659687217267675</v>
      </c>
      <c r="G490">
        <v>-0.03424236117450252</v>
      </c>
      <c r="H490">
        <v>0.12</v>
      </c>
      <c r="I490">
        <v>0.0891228122868708</v>
      </c>
      <c r="J490" t="s">
        <v>498</v>
      </c>
      <c r="K490" t="s">
        <v>763</v>
      </c>
      <c r="L490">
        <v>1.48</v>
      </c>
      <c r="M490">
        <v>0.67</v>
      </c>
      <c r="N490">
        <v>0.4527027027027027</v>
      </c>
      <c r="O490">
        <v>3</v>
      </c>
      <c r="P490">
        <v>0.06080007397849596</v>
      </c>
      <c r="Q490">
        <v>0.511805286764873</v>
      </c>
      <c r="R490" t="s">
        <v>767</v>
      </c>
      <c r="S490" t="s">
        <v>779</v>
      </c>
      <c r="T490">
        <v>4249.273684</v>
      </c>
      <c r="U490" s="2">
        <v>44445</v>
      </c>
      <c r="V490" t="s">
        <v>790</v>
      </c>
    </row>
    <row r="491" spans="1:22">
      <c r="A491" s="1" t="s">
        <v>511</v>
      </c>
      <c r="B491">
        <f>HYPERLINK("https://www.suredividend.com/sure-analysis-NRZ/","New Residential Investment Corp")</f>
        <v>0</v>
      </c>
      <c r="C491">
        <v>11.12</v>
      </c>
      <c r="D491">
        <v>11</v>
      </c>
      <c r="E491">
        <v>1.010909090909091</v>
      </c>
      <c r="F491">
        <v>0.07194244604316548</v>
      </c>
      <c r="G491">
        <v>-0.002167650449994896</v>
      </c>
      <c r="H491">
        <v>0.02</v>
      </c>
      <c r="I491">
        <v>0.08762009766693502</v>
      </c>
      <c r="J491" t="s">
        <v>498</v>
      </c>
      <c r="K491" t="s">
        <v>762</v>
      </c>
      <c r="L491">
        <v>1.4</v>
      </c>
      <c r="M491">
        <v>0.8</v>
      </c>
      <c r="N491">
        <v>0.5714285714285715</v>
      </c>
      <c r="O491">
        <v>1</v>
      </c>
      <c r="P491">
        <v>0.05988502997905321</v>
      </c>
      <c r="Q491">
        <v>0.611130394538933</v>
      </c>
      <c r="R491" t="s">
        <v>767</v>
      </c>
      <c r="S491" t="s">
        <v>779</v>
      </c>
      <c r="T491">
        <v>5197.700309</v>
      </c>
      <c r="U491" s="2">
        <v>44418</v>
      </c>
      <c r="V491" t="s">
        <v>783</v>
      </c>
    </row>
    <row r="492" spans="1:22">
      <c r="A492" s="1" t="s">
        <v>512</v>
      </c>
      <c r="B492">
        <f>HYPERLINK("https://www.suredividend.com/sure-analysis-CNA/","CNA Financial Corp.")</f>
        <v>0</v>
      </c>
      <c r="C492">
        <v>42.09</v>
      </c>
      <c r="D492">
        <v>48</v>
      </c>
      <c r="E492">
        <v>0.8768750000000001</v>
      </c>
      <c r="F492">
        <v>0.03611309099548586</v>
      </c>
      <c r="G492">
        <v>0.02662648095574149</v>
      </c>
      <c r="H492">
        <v>0.03</v>
      </c>
      <c r="I492">
        <v>0.08726097656012599</v>
      </c>
      <c r="J492" t="s">
        <v>498</v>
      </c>
      <c r="K492" t="s">
        <v>358</v>
      </c>
      <c r="L492">
        <v>4</v>
      </c>
      <c r="M492">
        <v>1.52</v>
      </c>
      <c r="N492">
        <v>0.38</v>
      </c>
      <c r="O492">
        <v>5</v>
      </c>
      <c r="P492">
        <v>0.02975477857041309</v>
      </c>
      <c r="Q492">
        <v>0.47166075348185</v>
      </c>
      <c r="R492" t="s">
        <v>765</v>
      </c>
      <c r="S492" t="s">
        <v>773</v>
      </c>
      <c r="T492">
        <v>11334.394343</v>
      </c>
      <c r="U492" s="2">
        <v>44416</v>
      </c>
      <c r="V492" t="s">
        <v>784</v>
      </c>
    </row>
    <row r="493" spans="1:22">
      <c r="A493" s="1" t="s">
        <v>513</v>
      </c>
      <c r="B493">
        <f>HYPERLINK("https://www.suredividend.com/sure-analysis-FRFHF/","Fairfax Financial Holdings Ltd.")</f>
        <v>0</v>
      </c>
      <c r="C493">
        <v>416.98</v>
      </c>
      <c r="D493">
        <v>555</v>
      </c>
      <c r="E493">
        <v>0.7513153153153154</v>
      </c>
      <c r="F493">
        <v>0.02398196556189745</v>
      </c>
      <c r="G493">
        <v>0.05885270792577768</v>
      </c>
      <c r="H493">
        <v>0.01</v>
      </c>
      <c r="I493">
        <v>0.08717711854431531</v>
      </c>
      <c r="J493" t="s">
        <v>498</v>
      </c>
      <c r="K493" t="s">
        <v>498</v>
      </c>
      <c r="L493">
        <v>32</v>
      </c>
      <c r="M493">
        <v>10</v>
      </c>
      <c r="N493">
        <v>0.3125</v>
      </c>
      <c r="O493">
        <v>0</v>
      </c>
      <c r="P493">
        <v>0</v>
      </c>
      <c r="Q493">
        <v>0.505777841976021</v>
      </c>
      <c r="R493" t="s">
        <v>765</v>
      </c>
      <c r="S493" t="s">
        <v>773</v>
      </c>
      <c r="T493">
        <v>11253.23289</v>
      </c>
      <c r="U493" s="2">
        <v>44428</v>
      </c>
      <c r="V493" t="s">
        <v>787</v>
      </c>
    </row>
    <row r="494" spans="1:22">
      <c r="A494" s="1" t="s">
        <v>514</v>
      </c>
      <c r="B494">
        <f>HYPERLINK("https://www.suredividend.com/sure-analysis-NGG/","National Grid Plc")</f>
        <v>0</v>
      </c>
      <c r="C494">
        <v>63.1</v>
      </c>
      <c r="D494">
        <v>62</v>
      </c>
      <c r="E494">
        <v>1.017741935483871</v>
      </c>
      <c r="F494">
        <v>0.05689381933438985</v>
      </c>
      <c r="G494">
        <v>-0.003511098527823164</v>
      </c>
      <c r="H494">
        <v>0.04</v>
      </c>
      <c r="I494">
        <v>0.08677908904647569</v>
      </c>
      <c r="J494" t="s">
        <v>498</v>
      </c>
      <c r="K494" t="s">
        <v>762</v>
      </c>
      <c r="L494">
        <v>4.16</v>
      </c>
      <c r="M494">
        <v>3.59</v>
      </c>
      <c r="N494">
        <v>0.8629807692307692</v>
      </c>
      <c r="O494">
        <v>0</v>
      </c>
      <c r="P494">
        <v>0.0401055114467892</v>
      </c>
      <c r="Q494">
        <v>0.252941326295701</v>
      </c>
      <c r="R494" t="s">
        <v>765</v>
      </c>
      <c r="S494" t="s">
        <v>776</v>
      </c>
      <c r="T494">
        <v>46260.248588</v>
      </c>
      <c r="U494" s="2">
        <v>44430</v>
      </c>
      <c r="V494" t="s">
        <v>788</v>
      </c>
    </row>
    <row r="495" spans="1:22">
      <c r="A495" s="1" t="s">
        <v>515</v>
      </c>
      <c r="B495">
        <f>HYPERLINK("https://www.suredividend.com/sure-analysis-XRX/","Xerox Holdings Corp")</f>
        <v>0</v>
      </c>
      <c r="C495">
        <v>20.895</v>
      </c>
      <c r="D495">
        <v>19</v>
      </c>
      <c r="E495">
        <v>1.099736842105263</v>
      </c>
      <c r="F495">
        <v>0.04785833931562575</v>
      </c>
      <c r="G495">
        <v>-0.01883455406556134</v>
      </c>
      <c r="H495">
        <v>0.07000000000000001</v>
      </c>
      <c r="I495">
        <v>0.08658099372587613</v>
      </c>
      <c r="J495" t="s">
        <v>498</v>
      </c>
      <c r="K495" t="s">
        <v>358</v>
      </c>
      <c r="L495">
        <v>1.85</v>
      </c>
      <c r="M495">
        <v>1</v>
      </c>
      <c r="N495">
        <v>0.5405405405405405</v>
      </c>
      <c r="O495">
        <v>0</v>
      </c>
      <c r="P495">
        <v>0</v>
      </c>
      <c r="Q495">
        <v>0.215112521299724</v>
      </c>
      <c r="R495" t="s">
        <v>765</v>
      </c>
      <c r="S495" t="s">
        <v>777</v>
      </c>
      <c r="T495">
        <v>3691.08074</v>
      </c>
      <c r="U495" s="2">
        <v>44407</v>
      </c>
      <c r="V495" t="s">
        <v>785</v>
      </c>
    </row>
    <row r="496" spans="1:22">
      <c r="A496" s="1" t="s">
        <v>516</v>
      </c>
      <c r="B496">
        <f>HYPERLINK("https://www.suredividend.com/sure-analysis-AMCR/","Amcor Plc")</f>
        <v>0</v>
      </c>
      <c r="C496">
        <v>11.84</v>
      </c>
      <c r="D496">
        <v>12</v>
      </c>
      <c r="E496">
        <v>0.9866666666666667</v>
      </c>
      <c r="F496">
        <v>0.03969594594594594</v>
      </c>
      <c r="G496">
        <v>0.002688210842791472</v>
      </c>
      <c r="H496">
        <v>0.05</v>
      </c>
      <c r="I496">
        <v>0.08512261521813436</v>
      </c>
      <c r="J496" t="s">
        <v>498</v>
      </c>
      <c r="K496" t="s">
        <v>498</v>
      </c>
      <c r="L496">
        <v>0.8</v>
      </c>
      <c r="M496">
        <v>0.47</v>
      </c>
      <c r="N496">
        <v>0.5874999999999999</v>
      </c>
      <c r="O496">
        <v>1</v>
      </c>
      <c r="P496">
        <v>0.0204250165236175</v>
      </c>
      <c r="Q496">
        <v>0.151373465809468</v>
      </c>
      <c r="R496" t="s">
        <v>765</v>
      </c>
      <c r="S496" t="s">
        <v>775</v>
      </c>
      <c r="T496">
        <v>18182.939941</v>
      </c>
      <c r="U496" s="2">
        <v>44445</v>
      </c>
      <c r="V496" t="s">
        <v>786</v>
      </c>
    </row>
    <row r="497" spans="1:22">
      <c r="A497" s="1" t="s">
        <v>517</v>
      </c>
      <c r="B497">
        <f>HYPERLINK("https://www.suredividend.com/sure-analysis-PCAR/","Paccar Inc.")</f>
        <v>0</v>
      </c>
      <c r="C497">
        <v>80.78</v>
      </c>
      <c r="D497">
        <v>87</v>
      </c>
      <c r="E497">
        <v>0.9285057471264367</v>
      </c>
      <c r="F497">
        <v>0.02921515226541223</v>
      </c>
      <c r="G497">
        <v>0.01494633756686459</v>
      </c>
      <c r="H497">
        <v>0.04</v>
      </c>
      <c r="I497">
        <v>0.08367659741214695</v>
      </c>
      <c r="J497" t="s">
        <v>498</v>
      </c>
      <c r="K497" t="s">
        <v>498</v>
      </c>
      <c r="L497">
        <v>5.8</v>
      </c>
      <c r="M497">
        <v>2.36</v>
      </c>
      <c r="N497">
        <v>0.4068965517241379</v>
      </c>
      <c r="O497">
        <v>11</v>
      </c>
      <c r="P497">
        <v>0.0782743837389801</v>
      </c>
      <c r="Q497">
        <v>0.013329723252181</v>
      </c>
      <c r="R497" t="s">
        <v>765</v>
      </c>
      <c r="S497" t="s">
        <v>772</v>
      </c>
      <c r="T497">
        <v>28065.497009</v>
      </c>
      <c r="U497" s="2">
        <v>44406</v>
      </c>
      <c r="V497" t="s">
        <v>784</v>
      </c>
    </row>
    <row r="498" spans="1:22">
      <c r="A498" s="1" t="s">
        <v>518</v>
      </c>
      <c r="B498">
        <f>HYPERLINK("https://www.suredividend.com/sure-analysis-KMI/","Kinder Morgan Inc")</f>
        <v>0</v>
      </c>
      <c r="C498">
        <v>16.545</v>
      </c>
      <c r="D498">
        <v>20.3</v>
      </c>
      <c r="E498">
        <v>0.815024630541872</v>
      </c>
      <c r="F498">
        <v>0.06527651858567543</v>
      </c>
      <c r="G498">
        <v>0.04175562297998425</v>
      </c>
      <c r="H498">
        <v>-0.012</v>
      </c>
      <c r="I498">
        <v>0.08361064933391105</v>
      </c>
      <c r="J498" t="s">
        <v>498</v>
      </c>
      <c r="K498" t="s">
        <v>762</v>
      </c>
      <c r="L498">
        <v>2.39</v>
      </c>
      <c r="M498">
        <v>1.08</v>
      </c>
      <c r="N498">
        <v>0.4518828451882845</v>
      </c>
      <c r="O498">
        <v>4</v>
      </c>
      <c r="P498">
        <v>0.01263939059641661</v>
      </c>
      <c r="Q498">
        <v>0.447303749473388</v>
      </c>
      <c r="R498" t="s">
        <v>765</v>
      </c>
      <c r="S498" t="s">
        <v>778</v>
      </c>
      <c r="T498">
        <v>37374.927943</v>
      </c>
      <c r="U498" s="2">
        <v>44411</v>
      </c>
      <c r="V498" t="s">
        <v>790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33.42</v>
      </c>
      <c r="D499">
        <v>35</v>
      </c>
      <c r="E499">
        <v>0.954857142857143</v>
      </c>
      <c r="F499">
        <v>0.03740275284260922</v>
      </c>
      <c r="G499">
        <v>0.009281516254545208</v>
      </c>
      <c r="H499">
        <v>0.04</v>
      </c>
      <c r="I499">
        <v>0.08226376028262128</v>
      </c>
      <c r="J499" t="s">
        <v>498</v>
      </c>
      <c r="K499" t="s">
        <v>358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0.012421147675</v>
      </c>
      <c r="R499" t="s">
        <v>765</v>
      </c>
      <c r="S499" t="s">
        <v>774</v>
      </c>
      <c r="T499">
        <v>15942.270856</v>
      </c>
      <c r="U499" s="2">
        <v>44391</v>
      </c>
      <c r="V499" t="s">
        <v>784</v>
      </c>
    </row>
    <row r="500" spans="1:22">
      <c r="A500" s="1" t="s">
        <v>520</v>
      </c>
      <c r="B500">
        <f>HYPERLINK("https://www.suredividend.com/sure-analysis-CNP/","Centerpoint Energy Inc.")</f>
        <v>0</v>
      </c>
      <c r="C500">
        <v>25.41</v>
      </c>
      <c r="D500">
        <v>21.8</v>
      </c>
      <c r="E500">
        <v>1.165596330275229</v>
      </c>
      <c r="F500">
        <v>0.02518693427784337</v>
      </c>
      <c r="G500">
        <v>-0.03018172025811072</v>
      </c>
      <c r="H500">
        <v>0.08400000000000001</v>
      </c>
      <c r="I500">
        <v>0.08166011307673027</v>
      </c>
      <c r="J500" t="s">
        <v>498</v>
      </c>
      <c r="K500" t="s">
        <v>498</v>
      </c>
      <c r="L500">
        <v>1.36</v>
      </c>
      <c r="M500">
        <v>0.64</v>
      </c>
      <c r="N500">
        <v>0.4705882352941176</v>
      </c>
      <c r="O500">
        <v>0</v>
      </c>
      <c r="P500">
        <v>0.1522658099010703</v>
      </c>
      <c r="Q500">
        <v>0.349468918683614</v>
      </c>
      <c r="R500" t="s">
        <v>765</v>
      </c>
      <c r="S500" t="s">
        <v>776</v>
      </c>
      <c r="T500">
        <v>14703.68135</v>
      </c>
      <c r="U500" s="2">
        <v>44421</v>
      </c>
      <c r="V500" t="s">
        <v>790</v>
      </c>
    </row>
    <row r="501" spans="1:22">
      <c r="A501" s="1" t="s">
        <v>521</v>
      </c>
      <c r="B501">
        <f>HYPERLINK("https://www.suredividend.com/sure-analysis-FE/","Firstenergy Corp.")</f>
        <v>0</v>
      </c>
      <c r="C501">
        <v>36.915</v>
      </c>
      <c r="D501">
        <v>38</v>
      </c>
      <c r="E501">
        <v>0.9714473684210526</v>
      </c>
      <c r="F501">
        <v>0.04225924420967087</v>
      </c>
      <c r="G501">
        <v>0.005810453019228001</v>
      </c>
      <c r="H501">
        <v>0.04</v>
      </c>
      <c r="I501">
        <v>0.08012327954497556</v>
      </c>
      <c r="J501" t="s">
        <v>498</v>
      </c>
      <c r="K501" t="s">
        <v>358</v>
      </c>
      <c r="L501">
        <v>2.5</v>
      </c>
      <c r="M501">
        <v>1.56</v>
      </c>
      <c r="N501">
        <v>0.624</v>
      </c>
      <c r="O501">
        <v>3</v>
      </c>
      <c r="P501">
        <v>0.01005227214699711</v>
      </c>
      <c r="Q501">
        <v>0.395597885526795</v>
      </c>
      <c r="R501" t="s">
        <v>765</v>
      </c>
      <c r="S501" t="s">
        <v>776</v>
      </c>
      <c r="T501">
        <v>19999.11616</v>
      </c>
      <c r="U501" s="2">
        <v>44401</v>
      </c>
      <c r="V501" t="s">
        <v>780</v>
      </c>
    </row>
    <row r="502" spans="1:22">
      <c r="A502" s="1" t="s">
        <v>522</v>
      </c>
      <c r="B502">
        <f>HYPERLINK("https://www.suredividend.com/sure-analysis-TS/","Tenaris S.A.")</f>
        <v>0</v>
      </c>
      <c r="C502">
        <v>20.225</v>
      </c>
      <c r="D502">
        <v>17</v>
      </c>
      <c r="E502">
        <v>1.189705882352941</v>
      </c>
      <c r="F502">
        <v>0.0207663782447466</v>
      </c>
      <c r="G502">
        <v>-0.03414467568681423</v>
      </c>
      <c r="H502">
        <v>0.1</v>
      </c>
      <c r="I502">
        <v>0.07826093465281736</v>
      </c>
      <c r="J502" t="s">
        <v>498</v>
      </c>
      <c r="K502" t="s">
        <v>763</v>
      </c>
      <c r="L502">
        <v>1</v>
      </c>
      <c r="M502">
        <v>0.42</v>
      </c>
      <c r="N502">
        <v>0.42</v>
      </c>
      <c r="O502">
        <v>0</v>
      </c>
      <c r="P502">
        <v>0</v>
      </c>
      <c r="Q502">
        <v>1.12173730371304</v>
      </c>
      <c r="R502" t="s">
        <v>765</v>
      </c>
      <c r="S502" t="s">
        <v>778</v>
      </c>
      <c r="T502">
        <v>11923.421983</v>
      </c>
      <c r="U502" s="2">
        <v>44413</v>
      </c>
      <c r="V502" t="s">
        <v>785</v>
      </c>
    </row>
    <row r="503" spans="1:22">
      <c r="A503" s="1" t="s">
        <v>523</v>
      </c>
      <c r="B503">
        <f>HYPERLINK("https://www.suredividend.com/sure-analysis-HASI/","Hannon Armstrong Sustainable Infrastructure capital Inc")</f>
        <v>0</v>
      </c>
      <c r="C503">
        <v>57</v>
      </c>
      <c r="D503">
        <v>50</v>
      </c>
      <c r="E503">
        <v>1.14</v>
      </c>
      <c r="F503">
        <v>0.02456140350877193</v>
      </c>
      <c r="G503">
        <v>-0.02586526421769075</v>
      </c>
      <c r="H503">
        <v>0.08500000000000001</v>
      </c>
      <c r="I503">
        <v>0.07820898023796352</v>
      </c>
      <c r="J503" t="s">
        <v>498</v>
      </c>
      <c r="K503" t="s">
        <v>498</v>
      </c>
      <c r="L503">
        <v>1.68</v>
      </c>
      <c r="M503">
        <v>1.4</v>
      </c>
      <c r="N503">
        <v>0.8333333333333333</v>
      </c>
      <c r="O503">
        <v>3</v>
      </c>
      <c r="P503">
        <v>0.03959498820755258</v>
      </c>
      <c r="Q503">
        <v>0.550968509901525</v>
      </c>
      <c r="R503" t="s">
        <v>767</v>
      </c>
      <c r="S503" t="s">
        <v>779</v>
      </c>
      <c r="T503">
        <v>4507.123789</v>
      </c>
      <c r="U503" s="2">
        <v>44416</v>
      </c>
      <c r="V503" t="s">
        <v>780</v>
      </c>
    </row>
    <row r="504" spans="1:22">
      <c r="A504" s="1" t="s">
        <v>524</v>
      </c>
      <c r="B504">
        <f>HYPERLINK("https://www.suredividend.com/sure-analysis-HIW/","Highwoods Properties, Inc.")</f>
        <v>0</v>
      </c>
      <c r="C504">
        <v>44.77</v>
      </c>
      <c r="D504">
        <v>48</v>
      </c>
      <c r="E504">
        <v>0.9327083333333334</v>
      </c>
      <c r="F504">
        <v>0.04467277194549921</v>
      </c>
      <c r="G504">
        <v>0.01403005800337609</v>
      </c>
      <c r="H504">
        <v>0.025</v>
      </c>
      <c r="I504">
        <v>0.07718575882562906</v>
      </c>
      <c r="J504" t="s">
        <v>498</v>
      </c>
      <c r="K504" t="s">
        <v>358</v>
      </c>
      <c r="L504">
        <v>3.68</v>
      </c>
      <c r="M504">
        <v>2</v>
      </c>
      <c r="N504">
        <v>0.5434782608695652</v>
      </c>
      <c r="O504">
        <v>4</v>
      </c>
      <c r="P504">
        <v>0.02016978262061087</v>
      </c>
      <c r="Q504">
        <v>0.4469531755292001</v>
      </c>
      <c r="R504" t="s">
        <v>767</v>
      </c>
      <c r="S504" t="s">
        <v>779</v>
      </c>
      <c r="T504">
        <v>4632.561367</v>
      </c>
      <c r="U504" s="2">
        <v>44405</v>
      </c>
      <c r="V504" t="s">
        <v>782</v>
      </c>
    </row>
    <row r="505" spans="1:22">
      <c r="A505" s="1" t="s">
        <v>525</v>
      </c>
      <c r="B505">
        <f>HYPERLINK("https://www.suredividend.com/sure-analysis-MPW/","Medical Properties Trust Inc")</f>
        <v>0</v>
      </c>
      <c r="C505">
        <v>20.86</v>
      </c>
      <c r="D505">
        <v>22</v>
      </c>
      <c r="E505">
        <v>0.9481818181818181</v>
      </c>
      <c r="F505">
        <v>0.05369127516778524</v>
      </c>
      <c r="G505">
        <v>0.01069862611463956</v>
      </c>
      <c r="H505">
        <v>0.016</v>
      </c>
      <c r="I505">
        <v>0.07643108583570246</v>
      </c>
      <c r="J505" t="s">
        <v>498</v>
      </c>
      <c r="K505" t="s">
        <v>358</v>
      </c>
      <c r="L505">
        <v>1.74</v>
      </c>
      <c r="M505">
        <v>1.12</v>
      </c>
      <c r="N505">
        <v>0.6436781609195403</v>
      </c>
      <c r="O505">
        <v>9</v>
      </c>
      <c r="P505">
        <v>0.04111932758460823</v>
      </c>
      <c r="Q505">
        <v>0.361435932045009</v>
      </c>
      <c r="R505" t="s">
        <v>767</v>
      </c>
      <c r="S505" t="s">
        <v>779</v>
      </c>
      <c r="T505">
        <v>12497.786</v>
      </c>
      <c r="U505" s="2">
        <v>44415</v>
      </c>
      <c r="V505" t="s">
        <v>790</v>
      </c>
    </row>
    <row r="506" spans="1:22">
      <c r="A506" s="1" t="s">
        <v>526</v>
      </c>
      <c r="B506">
        <f>HYPERLINK("https://www.suredividend.com/sure-analysis-RIO/","Rio Tinto plc")</f>
        <v>0</v>
      </c>
      <c r="C506">
        <v>67.2</v>
      </c>
      <c r="D506">
        <v>73</v>
      </c>
      <c r="E506">
        <v>0.9205479452054794</v>
      </c>
      <c r="F506">
        <v>0.08348214285714285</v>
      </c>
      <c r="G506">
        <v>0.01669506944893029</v>
      </c>
      <c r="H506">
        <v>0</v>
      </c>
      <c r="I506">
        <v>0.0764124665394621</v>
      </c>
      <c r="J506" t="s">
        <v>498</v>
      </c>
      <c r="K506" t="s">
        <v>762</v>
      </c>
      <c r="L506">
        <v>16.5</v>
      </c>
      <c r="M506">
        <v>5.61</v>
      </c>
      <c r="N506">
        <v>0.34</v>
      </c>
      <c r="O506">
        <v>5</v>
      </c>
      <c r="P506">
        <v>-0.05003988006497606</v>
      </c>
      <c r="Q506">
        <v>0.201658126918754</v>
      </c>
      <c r="R506" t="s">
        <v>765</v>
      </c>
      <c r="S506" t="s">
        <v>771</v>
      </c>
      <c r="T506">
        <v>109298.202854</v>
      </c>
      <c r="U506" s="2">
        <v>44439</v>
      </c>
      <c r="V506" t="s">
        <v>787</v>
      </c>
    </row>
    <row r="507" spans="1:22">
      <c r="A507" s="1" t="s">
        <v>527</v>
      </c>
      <c r="B507">
        <f>HYPERLINK("https://www.suredividend.com/sure-analysis-PDM/","Piedmont Office Realty Trust Inc")</f>
        <v>0</v>
      </c>
      <c r="C507">
        <v>17.65</v>
      </c>
      <c r="D507">
        <v>19</v>
      </c>
      <c r="E507">
        <v>0.9289473684210525</v>
      </c>
      <c r="F507">
        <v>0.04759206798866856</v>
      </c>
      <c r="G507">
        <v>0.01484981817535824</v>
      </c>
      <c r="H507">
        <v>0.022</v>
      </c>
      <c r="I507">
        <v>0.07639135668543351</v>
      </c>
      <c r="J507" t="s">
        <v>498</v>
      </c>
      <c r="K507" t="s">
        <v>358</v>
      </c>
      <c r="L507">
        <v>1.93</v>
      </c>
      <c r="M507">
        <v>0.84</v>
      </c>
      <c r="N507">
        <v>0.4352331606217616</v>
      </c>
      <c r="O507">
        <v>0</v>
      </c>
      <c r="P507">
        <v>0.009347419909568888</v>
      </c>
      <c r="Q507">
        <v>0.373731385198648</v>
      </c>
      <c r="R507" t="s">
        <v>767</v>
      </c>
      <c r="S507" t="s">
        <v>779</v>
      </c>
      <c r="T507">
        <v>2186.024869</v>
      </c>
      <c r="U507" s="2">
        <v>44425</v>
      </c>
      <c r="V507" t="s">
        <v>782</v>
      </c>
    </row>
    <row r="508" spans="1:22">
      <c r="A508" s="1" t="s">
        <v>528</v>
      </c>
      <c r="B508">
        <f>HYPERLINK("https://www.suredividend.com/sure-analysis-EQNR/","Equinor ASA")</f>
        <v>0</v>
      </c>
      <c r="C508">
        <v>23.87</v>
      </c>
      <c r="D508">
        <v>26.4</v>
      </c>
      <c r="E508">
        <v>0.9041666666666668</v>
      </c>
      <c r="F508">
        <v>0.03016338500209468</v>
      </c>
      <c r="G508">
        <v>0.02035266134905989</v>
      </c>
      <c r="H508">
        <v>0.02</v>
      </c>
      <c r="I508">
        <v>0.0760050396130969</v>
      </c>
      <c r="J508" t="s">
        <v>498</v>
      </c>
      <c r="K508" t="s">
        <v>498</v>
      </c>
      <c r="L508">
        <v>2.2</v>
      </c>
      <c r="M508">
        <v>0.72</v>
      </c>
      <c r="N508">
        <v>0.3272727272727272</v>
      </c>
      <c r="O508">
        <v>0</v>
      </c>
      <c r="P508">
        <v>0.1305865872992673</v>
      </c>
      <c r="Q508">
        <v>0.703636595274832</v>
      </c>
      <c r="R508" t="s">
        <v>765</v>
      </c>
      <c r="S508" t="s">
        <v>778</v>
      </c>
      <c r="T508">
        <v>78412.543107</v>
      </c>
      <c r="U508" s="2">
        <v>44408</v>
      </c>
      <c r="V508" t="s">
        <v>780</v>
      </c>
    </row>
    <row r="509" spans="1:22">
      <c r="A509" s="1" t="s">
        <v>529</v>
      </c>
      <c r="B509">
        <f>HYPERLINK("https://www.suredividend.com/sure-analysis-STN/","Stantec Inc")</f>
        <v>0</v>
      </c>
      <c r="C509">
        <v>48.98</v>
      </c>
      <c r="D509">
        <v>40</v>
      </c>
      <c r="E509">
        <v>1.2245</v>
      </c>
      <c r="F509">
        <v>0.01082074316047366</v>
      </c>
      <c r="G509">
        <v>-0.03969709618650763</v>
      </c>
      <c r="H509">
        <v>0.11</v>
      </c>
      <c r="I509">
        <v>0.07577605661979447</v>
      </c>
      <c r="J509" t="s">
        <v>498</v>
      </c>
      <c r="K509" t="s">
        <v>763</v>
      </c>
      <c r="L509">
        <v>1.6</v>
      </c>
      <c r="M509">
        <v>0.53</v>
      </c>
      <c r="N509">
        <v>0.33125</v>
      </c>
      <c r="O509">
        <v>3</v>
      </c>
      <c r="P509">
        <v>0.06022122873100355</v>
      </c>
      <c r="Q509">
        <v>0.6713773236221321</v>
      </c>
      <c r="R509" t="s">
        <v>765</v>
      </c>
      <c r="S509" t="s">
        <v>772</v>
      </c>
      <c r="T509">
        <v>5463.18827</v>
      </c>
      <c r="U509" s="2">
        <v>44413</v>
      </c>
      <c r="V509" t="s">
        <v>780</v>
      </c>
    </row>
    <row r="510" spans="1:22">
      <c r="A510" s="1" t="s">
        <v>530</v>
      </c>
      <c r="B510">
        <f>HYPERLINK("https://www.suredividend.com/sure-analysis-ROST/","Ross Stores, Inc.")</f>
        <v>0</v>
      </c>
      <c r="C510">
        <v>115.705</v>
      </c>
      <c r="D510">
        <v>85</v>
      </c>
      <c r="E510">
        <v>1.361235294117647</v>
      </c>
      <c r="F510">
        <v>0.009852642496002765</v>
      </c>
      <c r="G510">
        <v>-0.05981490957841806</v>
      </c>
      <c r="H510">
        <v>0.13</v>
      </c>
      <c r="I510">
        <v>0.07409766901345072</v>
      </c>
      <c r="J510" t="s">
        <v>498</v>
      </c>
      <c r="K510" t="s">
        <v>763</v>
      </c>
      <c r="L510">
        <v>4.5</v>
      </c>
      <c r="M510">
        <v>1.14</v>
      </c>
      <c r="N510">
        <v>0.2533333333333333</v>
      </c>
      <c r="O510">
        <v>0</v>
      </c>
      <c r="P510">
        <v>0.1486983549970351</v>
      </c>
      <c r="Q510">
        <v>0.326530026574221</v>
      </c>
      <c r="R510" t="s">
        <v>765</v>
      </c>
      <c r="S510" t="s">
        <v>775</v>
      </c>
      <c r="T510">
        <v>41066.090453</v>
      </c>
      <c r="U510" s="2">
        <v>44431</v>
      </c>
      <c r="V510" t="s">
        <v>787</v>
      </c>
    </row>
    <row r="511" spans="1:22">
      <c r="A511" s="1" t="s">
        <v>531</v>
      </c>
      <c r="B511">
        <f>HYPERLINK("https://www.suredividend.com/sure-analysis-NWL/","Newell Brands Inc")</f>
        <v>0</v>
      </c>
      <c r="C511">
        <v>23.88</v>
      </c>
      <c r="D511">
        <v>23</v>
      </c>
      <c r="E511">
        <v>1.038260869565217</v>
      </c>
      <c r="F511">
        <v>0.03852596314907873</v>
      </c>
      <c r="G511">
        <v>-0.007481289311156325</v>
      </c>
      <c r="H511">
        <v>0.05</v>
      </c>
      <c r="I511">
        <v>0.07293284896482621</v>
      </c>
      <c r="J511" t="s">
        <v>498</v>
      </c>
      <c r="K511" t="s">
        <v>358</v>
      </c>
      <c r="L511">
        <v>1.75</v>
      </c>
      <c r="M511">
        <v>0.92</v>
      </c>
      <c r="N511">
        <v>0.5257142857142857</v>
      </c>
      <c r="O511">
        <v>0</v>
      </c>
      <c r="P511">
        <v>0</v>
      </c>
      <c r="Q511">
        <v>0.4660902031608191</v>
      </c>
      <c r="R511" t="s">
        <v>765</v>
      </c>
      <c r="S511" t="s">
        <v>774</v>
      </c>
      <c r="T511">
        <v>10256.394</v>
      </c>
      <c r="U511" s="2">
        <v>44421</v>
      </c>
      <c r="V511" t="s">
        <v>785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39.87</v>
      </c>
      <c r="D512">
        <v>34</v>
      </c>
      <c r="E512">
        <v>1.172647058823529</v>
      </c>
      <c r="F512">
        <v>0.01705543014798094</v>
      </c>
      <c r="G512">
        <v>-0.0313507728915694</v>
      </c>
      <c r="H512">
        <v>0.09</v>
      </c>
      <c r="I512">
        <v>0.0728870548434768</v>
      </c>
      <c r="J512" t="s">
        <v>498</v>
      </c>
      <c r="K512" t="s">
        <v>763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0.5611194067283241</v>
      </c>
      <c r="R512" t="s">
        <v>765</v>
      </c>
      <c r="S512" t="s">
        <v>779</v>
      </c>
      <c r="T512">
        <v>23324.596937</v>
      </c>
      <c r="U512" s="2">
        <v>44408</v>
      </c>
      <c r="V512" t="s">
        <v>780</v>
      </c>
    </row>
    <row r="513" spans="1:22">
      <c r="A513" s="1" t="s">
        <v>533</v>
      </c>
      <c r="B513">
        <f>HYPERLINK("https://www.suredividend.com/sure-analysis-BBD/","Banco Bradesco S.A.")</f>
        <v>0</v>
      </c>
      <c r="C513">
        <v>3.85</v>
      </c>
      <c r="D513">
        <v>4.2</v>
      </c>
      <c r="E513">
        <v>0.9166666666666666</v>
      </c>
      <c r="F513">
        <v>0.06233766233766233</v>
      </c>
      <c r="G513">
        <v>0.01755457717558762</v>
      </c>
      <c r="H513">
        <v>0</v>
      </c>
      <c r="I513">
        <v>0.07000696848360421</v>
      </c>
      <c r="J513" t="s">
        <v>498</v>
      </c>
      <c r="K513" t="s">
        <v>762</v>
      </c>
      <c r="L513">
        <v>0.52</v>
      </c>
      <c r="M513">
        <v>0.24</v>
      </c>
      <c r="N513">
        <v>0.4615384615384615</v>
      </c>
      <c r="O513">
        <v>0</v>
      </c>
      <c r="P513">
        <v>0</v>
      </c>
      <c r="Q513">
        <v>0.310409544875661</v>
      </c>
      <c r="R513" t="s">
        <v>765</v>
      </c>
      <c r="S513" t="s">
        <v>773</v>
      </c>
      <c r="T513">
        <v>35712.42888</v>
      </c>
      <c r="U513" s="2">
        <v>44413</v>
      </c>
      <c r="V513" t="s">
        <v>780</v>
      </c>
    </row>
    <row r="514" spans="1:22">
      <c r="A514" s="1" t="s">
        <v>534</v>
      </c>
      <c r="B514">
        <f>HYPERLINK("https://www.suredividend.com/sure-analysis-JNPR/","Juniper Networks Inc")</f>
        <v>0</v>
      </c>
      <c r="C514">
        <v>28.395</v>
      </c>
      <c r="D514">
        <v>25</v>
      </c>
      <c r="E514">
        <v>1.1358</v>
      </c>
      <c r="F514">
        <v>0.02817397429124846</v>
      </c>
      <c r="G514">
        <v>-0.02514588974938259</v>
      </c>
      <c r="H514">
        <v>0.07000000000000001</v>
      </c>
      <c r="I514">
        <v>0.06933813724013227</v>
      </c>
      <c r="J514" t="s">
        <v>498</v>
      </c>
      <c r="K514" t="s">
        <v>498</v>
      </c>
      <c r="L514">
        <v>1.74</v>
      </c>
      <c r="M514">
        <v>0.8</v>
      </c>
      <c r="N514">
        <v>0.4597701149425288</v>
      </c>
      <c r="O514">
        <v>3</v>
      </c>
      <c r="P514">
        <v>0.04978904632428516</v>
      </c>
      <c r="Q514">
        <v>0.359828089914769</v>
      </c>
      <c r="R514" t="s">
        <v>765</v>
      </c>
      <c r="S514" t="s">
        <v>777</v>
      </c>
      <c r="T514">
        <v>9156.275279</v>
      </c>
      <c r="U514" s="2">
        <v>44405</v>
      </c>
      <c r="V514" t="s">
        <v>782</v>
      </c>
    </row>
    <row r="515" spans="1:22">
      <c r="A515" s="1" t="s">
        <v>535</v>
      </c>
      <c r="B515">
        <f>HYPERLINK("https://www.suredividend.com/sure-analysis-HUN/","Huntsman Corp")</f>
        <v>0</v>
      </c>
      <c r="C515">
        <v>27.11</v>
      </c>
      <c r="D515">
        <v>26</v>
      </c>
      <c r="E515">
        <v>1.042692307692308</v>
      </c>
      <c r="F515">
        <v>0.02766506824050166</v>
      </c>
      <c r="G515">
        <v>-0.00832636727427416</v>
      </c>
      <c r="H515">
        <v>0.05</v>
      </c>
      <c r="I515">
        <v>0.06791746573724877</v>
      </c>
      <c r="J515" t="s">
        <v>498</v>
      </c>
      <c r="K515" t="s">
        <v>498</v>
      </c>
      <c r="L515">
        <v>2.77</v>
      </c>
      <c r="M515">
        <v>0.75</v>
      </c>
      <c r="N515">
        <v>0.2707581227436823</v>
      </c>
      <c r="O515">
        <v>1</v>
      </c>
      <c r="P515">
        <v>0.05922384104881218</v>
      </c>
      <c r="Q515">
        <v>0.300637095804784</v>
      </c>
      <c r="R515" t="s">
        <v>765</v>
      </c>
      <c r="S515" t="s">
        <v>771</v>
      </c>
      <c r="T515">
        <v>6003.203768</v>
      </c>
      <c r="U515" s="2">
        <v>44407</v>
      </c>
      <c r="V515" t="s">
        <v>780</v>
      </c>
    </row>
    <row r="516" spans="1:22">
      <c r="A516" s="1" t="s">
        <v>536</v>
      </c>
      <c r="B516">
        <f>HYPERLINK("https://www.suredividend.com/sure-analysis-SBS/","Companhia de Saneamento Basico do Estado de Sao Paulo.")</f>
        <v>0</v>
      </c>
      <c r="C516">
        <v>7.02</v>
      </c>
      <c r="D516">
        <v>6.63</v>
      </c>
      <c r="E516">
        <v>1.058823529411765</v>
      </c>
      <c r="F516">
        <v>0.03133903133903134</v>
      </c>
      <c r="G516">
        <v>-0.01136658936104351</v>
      </c>
      <c r="H516">
        <v>0.05</v>
      </c>
      <c r="I516">
        <v>0.06759953427821341</v>
      </c>
      <c r="J516" t="s">
        <v>498</v>
      </c>
      <c r="K516" t="s">
        <v>358</v>
      </c>
      <c r="L516">
        <v>0.78</v>
      </c>
      <c r="M516">
        <v>0.22</v>
      </c>
      <c r="N516">
        <v>0.282051282051282</v>
      </c>
      <c r="O516">
        <v>0</v>
      </c>
      <c r="P516">
        <v>0.04941452284458392</v>
      </c>
      <c r="Q516">
        <v>-0.157004859759519</v>
      </c>
      <c r="R516" t="s">
        <v>765</v>
      </c>
      <c r="S516" t="s">
        <v>776</v>
      </c>
      <c r="T516">
        <v>4825.579675</v>
      </c>
      <c r="U516" s="2">
        <v>44422</v>
      </c>
      <c r="V516" t="s">
        <v>780</v>
      </c>
    </row>
    <row r="517" spans="1:22">
      <c r="A517" s="1" t="s">
        <v>537</v>
      </c>
      <c r="B517">
        <f>HYPERLINK("https://www.suredividend.com/sure-analysis-WPP/","WPP Plc.")</f>
        <v>0</v>
      </c>
      <c r="C517">
        <v>68.09</v>
      </c>
      <c r="D517">
        <v>72</v>
      </c>
      <c r="E517">
        <v>0.9456944444444445</v>
      </c>
      <c r="F517">
        <v>0.02849170215890733</v>
      </c>
      <c r="G517">
        <v>0.01122973729495791</v>
      </c>
      <c r="H517">
        <v>0.03</v>
      </c>
      <c r="I517">
        <v>0.06751251807809155</v>
      </c>
      <c r="J517" t="s">
        <v>498</v>
      </c>
      <c r="K517" t="s">
        <v>498</v>
      </c>
      <c r="L517">
        <v>5.15</v>
      </c>
      <c r="M517">
        <v>1.94</v>
      </c>
      <c r="N517">
        <v>0.3766990291262136</v>
      </c>
      <c r="O517">
        <v>0</v>
      </c>
      <c r="P517">
        <v>0.03997297703182556</v>
      </c>
      <c r="Q517">
        <v>0.9599295690377281</v>
      </c>
      <c r="R517" t="s">
        <v>765</v>
      </c>
      <c r="S517" t="s">
        <v>769</v>
      </c>
      <c r="T517">
        <v>16326.76416</v>
      </c>
      <c r="U517" s="2">
        <v>44413</v>
      </c>
      <c r="V517" t="s">
        <v>785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504.105</v>
      </c>
      <c r="D518">
        <v>420</v>
      </c>
      <c r="E518">
        <v>1.20025</v>
      </c>
      <c r="F518">
        <v>0.02856547743029726</v>
      </c>
      <c r="G518">
        <v>-0.03584766566397068</v>
      </c>
      <c r="H518">
        <v>0.075</v>
      </c>
      <c r="I518">
        <v>0.0660891003528743</v>
      </c>
      <c r="J518" t="s">
        <v>498</v>
      </c>
      <c r="K518" t="s">
        <v>498</v>
      </c>
      <c r="L518">
        <v>28</v>
      </c>
      <c r="M518">
        <v>14.4</v>
      </c>
      <c r="N518">
        <v>0.5142857142857143</v>
      </c>
      <c r="O518">
        <v>10</v>
      </c>
      <c r="P518">
        <v>0.08001710619661218</v>
      </c>
      <c r="Q518">
        <v>0.480050139156409</v>
      </c>
      <c r="R518" t="s">
        <v>765</v>
      </c>
      <c r="S518" t="s">
        <v>777</v>
      </c>
      <c r="T518">
        <v>207578.094038</v>
      </c>
      <c r="U518" s="2">
        <v>44453</v>
      </c>
      <c r="V518" t="s">
        <v>783</v>
      </c>
    </row>
    <row r="519" spans="1:22">
      <c r="A519" s="1" t="s">
        <v>539</v>
      </c>
      <c r="B519">
        <f>HYPERLINK("https://www.suredividend.com/sure-analysis-DEA/","Easterly Government Properties Inc")</f>
        <v>0</v>
      </c>
      <c r="C519">
        <v>21.23</v>
      </c>
      <c r="D519">
        <v>20.8</v>
      </c>
      <c r="E519">
        <v>1.020673076923077</v>
      </c>
      <c r="F519">
        <v>0.04992934526613283</v>
      </c>
      <c r="G519">
        <v>-0.004084095108029318</v>
      </c>
      <c r="H519">
        <v>0.021</v>
      </c>
      <c r="I519">
        <v>0.06493522652101924</v>
      </c>
      <c r="J519" t="s">
        <v>498</v>
      </c>
      <c r="K519" t="s">
        <v>762</v>
      </c>
      <c r="L519">
        <v>1.31</v>
      </c>
      <c r="M519">
        <v>1.06</v>
      </c>
      <c r="N519">
        <v>0.8091603053435115</v>
      </c>
      <c r="O519">
        <v>1</v>
      </c>
      <c r="P519">
        <v>0.04166362161741732</v>
      </c>
      <c r="Q519">
        <v>0.005117910794010001</v>
      </c>
      <c r="R519" t="s">
        <v>767</v>
      </c>
      <c r="S519" t="s">
        <v>779</v>
      </c>
      <c r="T519">
        <v>1782.158507</v>
      </c>
      <c r="U519" s="2">
        <v>44421</v>
      </c>
      <c r="V519" t="s">
        <v>790</v>
      </c>
    </row>
    <row r="520" spans="1:22">
      <c r="A520" s="1" t="s">
        <v>540</v>
      </c>
      <c r="B520">
        <f>HYPERLINK("https://www.suredividend.com/sure-analysis-LMRK/","Landmark Infrastructure Partners LP")</f>
        <v>0</v>
      </c>
      <c r="C520">
        <v>16.5</v>
      </c>
      <c r="D520">
        <v>16.2</v>
      </c>
      <c r="E520">
        <v>1.018518518518519</v>
      </c>
      <c r="F520">
        <v>0.04848484848484848</v>
      </c>
      <c r="G520">
        <v>-0.003663102145607278</v>
      </c>
      <c r="H520">
        <v>0.021</v>
      </c>
      <c r="I520">
        <v>0.06180391223342219</v>
      </c>
      <c r="J520" t="s">
        <v>498</v>
      </c>
      <c r="K520" t="s">
        <v>358</v>
      </c>
      <c r="L520">
        <v>1.47</v>
      </c>
      <c r="M520">
        <v>0.8</v>
      </c>
      <c r="N520">
        <v>0.54421768707483</v>
      </c>
      <c r="O520">
        <v>0</v>
      </c>
      <c r="P520">
        <v>0.02383625553960966</v>
      </c>
      <c r="Q520">
        <v>0.8671706141293891</v>
      </c>
      <c r="R520" t="s">
        <v>766</v>
      </c>
      <c r="S520" t="s">
        <v>779</v>
      </c>
      <c r="T520">
        <v>420.568368</v>
      </c>
      <c r="U520" s="2">
        <v>44421</v>
      </c>
      <c r="V520" t="s">
        <v>790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56.7</v>
      </c>
      <c r="D521">
        <v>59</v>
      </c>
      <c r="E521">
        <v>0.9610169491525424</v>
      </c>
      <c r="F521">
        <v>0.04462081128747795</v>
      </c>
      <c r="G521">
        <v>0.007984352922552729</v>
      </c>
      <c r="H521">
        <v>0.015</v>
      </c>
      <c r="I521">
        <v>0.06142612663459279</v>
      </c>
      <c r="J521" t="s">
        <v>498</v>
      </c>
      <c r="K521" t="s">
        <v>358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0.434937091526059</v>
      </c>
      <c r="R521" t="s">
        <v>765</v>
      </c>
      <c r="S521" t="s">
        <v>773</v>
      </c>
      <c r="T521">
        <v>3132.879185</v>
      </c>
      <c r="U521" s="2">
        <v>44424</v>
      </c>
      <c r="V521" t="s">
        <v>783</v>
      </c>
    </row>
    <row r="522" spans="1:22">
      <c r="A522" s="1" t="s">
        <v>542</v>
      </c>
      <c r="B522">
        <f>HYPERLINK("https://www.suredividend.com/sure-analysis-REG/","Regency Centers Corporation")</f>
        <v>0</v>
      </c>
      <c r="C522">
        <v>68.28</v>
      </c>
      <c r="D522">
        <v>65</v>
      </c>
      <c r="E522">
        <v>1.050461538461539</v>
      </c>
      <c r="F522">
        <v>0.03485647334504979</v>
      </c>
      <c r="G522">
        <v>-0.009797613170826724</v>
      </c>
      <c r="H522">
        <v>0.04</v>
      </c>
      <c r="I522">
        <v>0.06080712679832789</v>
      </c>
      <c r="J522" t="s">
        <v>498</v>
      </c>
      <c r="K522" t="s">
        <v>498</v>
      </c>
      <c r="L522">
        <v>3.54</v>
      </c>
      <c r="M522">
        <v>2.38</v>
      </c>
      <c r="N522">
        <v>0.6723163841807909</v>
      </c>
      <c r="O522">
        <v>8</v>
      </c>
      <c r="P522">
        <v>0.02017754074271805</v>
      </c>
      <c r="Q522">
        <v>0.9465857774939561</v>
      </c>
      <c r="R522" t="s">
        <v>767</v>
      </c>
      <c r="S522" t="s">
        <v>779</v>
      </c>
      <c r="T522">
        <v>11598.97808</v>
      </c>
      <c r="U522" s="2">
        <v>44416</v>
      </c>
      <c r="V522" t="s">
        <v>780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10.19</v>
      </c>
      <c r="D523">
        <v>10</v>
      </c>
      <c r="E523">
        <v>1.019</v>
      </c>
      <c r="F523">
        <v>0.04219823356231599</v>
      </c>
      <c r="G523">
        <v>-0.003757274561456914</v>
      </c>
      <c r="H523">
        <v>0.02</v>
      </c>
      <c r="I523">
        <v>0.06064717203056036</v>
      </c>
      <c r="J523" t="s">
        <v>498</v>
      </c>
      <c r="K523" t="s">
        <v>358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0.9081904832963381</v>
      </c>
      <c r="R523" t="s">
        <v>767</v>
      </c>
      <c r="S523" t="s">
        <v>779</v>
      </c>
      <c r="T523">
        <v>437.615799</v>
      </c>
      <c r="U523" s="2">
        <v>44422</v>
      </c>
      <c r="V523" t="s">
        <v>789</v>
      </c>
    </row>
    <row r="524" spans="1:22">
      <c r="A524" s="1" t="s">
        <v>544</v>
      </c>
      <c r="B524">
        <f>HYPERLINK("https://www.suredividend.com/sure-analysis-NSP/","Insperity Inc")</f>
        <v>0</v>
      </c>
      <c r="C524">
        <v>108.81</v>
      </c>
      <c r="D524">
        <v>92</v>
      </c>
      <c r="E524">
        <v>1.182717391304348</v>
      </c>
      <c r="F524">
        <v>0.01654259718775848</v>
      </c>
      <c r="G524">
        <v>-0.03300594650366961</v>
      </c>
      <c r="H524">
        <v>0.08</v>
      </c>
      <c r="I524">
        <v>0.06002458129493227</v>
      </c>
      <c r="J524" t="s">
        <v>498</v>
      </c>
      <c r="K524" t="s">
        <v>763</v>
      </c>
      <c r="L524">
        <v>4.3</v>
      </c>
      <c r="M524">
        <v>1.8</v>
      </c>
      <c r="N524">
        <v>0.4186046511627907</v>
      </c>
      <c r="O524">
        <v>14</v>
      </c>
      <c r="P524">
        <v>0.05024607263868264</v>
      </c>
      <c r="Q524">
        <v>0.7567410205982811</v>
      </c>
      <c r="R524" t="s">
        <v>765</v>
      </c>
      <c r="S524" t="s">
        <v>773</v>
      </c>
      <c r="T524">
        <v>4193.017562</v>
      </c>
      <c r="U524" s="2">
        <v>44412</v>
      </c>
      <c r="V524" t="s">
        <v>782</v>
      </c>
    </row>
    <row r="525" spans="1:22">
      <c r="A525" s="1" t="s">
        <v>545</v>
      </c>
      <c r="B525">
        <f>HYPERLINK("https://www.suredividend.com/sure-analysis-HMC/","Honda Motor")</f>
        <v>0</v>
      </c>
      <c r="C525">
        <v>30.96</v>
      </c>
      <c r="D525">
        <v>31</v>
      </c>
      <c r="E525">
        <v>0.9987096774193549</v>
      </c>
      <c r="F525">
        <v>0.03359173126614987</v>
      </c>
      <c r="G525">
        <v>0.0002582644972581871</v>
      </c>
      <c r="H525">
        <v>0.029</v>
      </c>
      <c r="I525">
        <v>0.06001413126552602</v>
      </c>
      <c r="J525" t="s">
        <v>498</v>
      </c>
      <c r="K525" t="s">
        <v>358</v>
      </c>
      <c r="L525">
        <v>3.68</v>
      </c>
      <c r="M525">
        <v>1.04</v>
      </c>
      <c r="N525">
        <v>0.2826086956521739</v>
      </c>
      <c r="O525">
        <v>0</v>
      </c>
      <c r="P525">
        <v>0.02903366107118788</v>
      </c>
      <c r="Q525">
        <v>0.323695000042977</v>
      </c>
      <c r="R525" t="s">
        <v>765</v>
      </c>
      <c r="S525" t="s">
        <v>775</v>
      </c>
      <c r="T525">
        <v>55791.995644</v>
      </c>
      <c r="U525" s="2">
        <v>44425</v>
      </c>
      <c r="V525" t="s">
        <v>781</v>
      </c>
    </row>
    <row r="526" spans="1:22">
      <c r="A526" s="1" t="s">
        <v>546</v>
      </c>
      <c r="B526">
        <f>HYPERLINK("https://www.suredividend.com/sure-analysis-KHC/","Kraft Heinz Co")</f>
        <v>0</v>
      </c>
      <c r="C526">
        <v>36.52</v>
      </c>
      <c r="D526">
        <v>37</v>
      </c>
      <c r="E526">
        <v>0.9870270270270272</v>
      </c>
      <c r="F526">
        <v>0.04381161007667032</v>
      </c>
      <c r="G526">
        <v>0.002614984506595031</v>
      </c>
      <c r="H526">
        <v>0.02</v>
      </c>
      <c r="I526">
        <v>0.0599088528851337</v>
      </c>
      <c r="J526" t="s">
        <v>498</v>
      </c>
      <c r="K526" t="s">
        <v>358</v>
      </c>
      <c r="L526">
        <v>2.87</v>
      </c>
      <c r="M526">
        <v>1.6</v>
      </c>
      <c r="N526">
        <v>0.5574912891986062</v>
      </c>
      <c r="O526">
        <v>0</v>
      </c>
      <c r="P526">
        <v>0</v>
      </c>
      <c r="Q526">
        <v>0.316610100658486</v>
      </c>
      <c r="R526" t="s">
        <v>765</v>
      </c>
      <c r="S526" t="s">
        <v>774</v>
      </c>
      <c r="T526">
        <v>44421.186908</v>
      </c>
      <c r="U526" s="2">
        <v>44417</v>
      </c>
      <c r="V526" t="s">
        <v>783</v>
      </c>
    </row>
    <row r="527" spans="1:22">
      <c r="A527" s="1" t="s">
        <v>547</v>
      </c>
      <c r="B527">
        <f>HYPERLINK("https://www.suredividend.com/sure-analysis-HBAN/","Huntington Bancshares, Inc.")</f>
        <v>0</v>
      </c>
      <c r="C527">
        <v>15.34</v>
      </c>
      <c r="D527">
        <v>14</v>
      </c>
      <c r="E527">
        <v>1.095714285714286</v>
      </c>
      <c r="F527">
        <v>0.03911342894393742</v>
      </c>
      <c r="G527">
        <v>-0.01811520407147649</v>
      </c>
      <c r="H527">
        <v>0.04</v>
      </c>
      <c r="I527">
        <v>0.05850884186222327</v>
      </c>
      <c r="J527" t="s">
        <v>498</v>
      </c>
      <c r="K527" t="s">
        <v>358</v>
      </c>
      <c r="L527">
        <v>1.25</v>
      </c>
      <c r="M527">
        <v>0.6</v>
      </c>
      <c r="N527">
        <v>0.48</v>
      </c>
      <c r="O527">
        <v>10</v>
      </c>
      <c r="P527">
        <v>0.03713728933664817</v>
      </c>
      <c r="Q527">
        <v>0.812946187533745</v>
      </c>
      <c r="R527" t="s">
        <v>765</v>
      </c>
      <c r="S527" t="s">
        <v>773</v>
      </c>
      <c r="T527">
        <v>22310.782707</v>
      </c>
      <c r="U527" s="2">
        <v>44411</v>
      </c>
      <c r="V527" t="s">
        <v>784</v>
      </c>
    </row>
    <row r="528" spans="1:22">
      <c r="A528" s="1" t="s">
        <v>548</v>
      </c>
      <c r="B528">
        <f>HYPERLINK("https://www.suredividend.com/sure-analysis-CORR/","CorEnergy Infrastructure Trust Inc")</f>
        <v>0</v>
      </c>
      <c r="C528">
        <v>4.52</v>
      </c>
      <c r="D528">
        <v>4.5</v>
      </c>
      <c r="E528">
        <v>1.004444444444444</v>
      </c>
      <c r="F528">
        <v>0.04424778761061948</v>
      </c>
      <c r="G528">
        <v>-0.0008865262168032961</v>
      </c>
      <c r="H528">
        <v>0.02</v>
      </c>
      <c r="I528">
        <v>0.05716643988935388</v>
      </c>
      <c r="J528" t="s">
        <v>498</v>
      </c>
      <c r="K528" t="s">
        <v>358</v>
      </c>
      <c r="L528">
        <v>0.45</v>
      </c>
      <c r="M528">
        <v>0.2</v>
      </c>
      <c r="N528">
        <v>0.4444444444444445</v>
      </c>
      <c r="O528">
        <v>0</v>
      </c>
      <c r="P528">
        <v>0</v>
      </c>
      <c r="Q528">
        <v>-0.138195777351247</v>
      </c>
      <c r="R528" t="s">
        <v>765</v>
      </c>
      <c r="S528" t="s">
        <v>779</v>
      </c>
      <c r="T528">
        <v>66.589259</v>
      </c>
      <c r="U528" s="2">
        <v>44418</v>
      </c>
      <c r="V528" t="s">
        <v>781</v>
      </c>
    </row>
    <row r="529" spans="1:22">
      <c r="A529" s="1" t="s">
        <v>549</v>
      </c>
      <c r="B529">
        <f>HYPERLINK("https://www.suredividend.com/sure-analysis-AGNC/","AGNC Investment Corp")</f>
        <v>0</v>
      </c>
      <c r="C529">
        <v>16.21</v>
      </c>
      <c r="D529">
        <v>22.2</v>
      </c>
      <c r="E529">
        <v>0.7301801801801803</v>
      </c>
      <c r="F529">
        <v>0.08883405305367056</v>
      </c>
      <c r="G529">
        <v>0.06491266449112709</v>
      </c>
      <c r="H529">
        <v>-0.08799999999999999</v>
      </c>
      <c r="I529">
        <v>0.05698065542836517</v>
      </c>
      <c r="J529" t="s">
        <v>498</v>
      </c>
      <c r="K529" t="s">
        <v>762</v>
      </c>
      <c r="L529">
        <v>2.78</v>
      </c>
      <c r="M529">
        <v>1.44</v>
      </c>
      <c r="N529">
        <v>0.5179856115107914</v>
      </c>
      <c r="O529">
        <v>0</v>
      </c>
      <c r="P529">
        <v>0.008197818497166498</v>
      </c>
      <c r="Q529">
        <v>0.259101706230302</v>
      </c>
      <c r="R529" t="s">
        <v>767</v>
      </c>
      <c r="S529" t="s">
        <v>779</v>
      </c>
      <c r="T529">
        <v>8514.013956000001</v>
      </c>
      <c r="U529" s="2">
        <v>44411</v>
      </c>
      <c r="V529" t="s">
        <v>790</v>
      </c>
    </row>
    <row r="530" spans="1:22">
      <c r="A530" s="1" t="s">
        <v>550</v>
      </c>
      <c r="B530">
        <f>HYPERLINK("https://www.suredividend.com/sure-analysis-EGP/","Eastgroup Properties, Inc.")</f>
        <v>0</v>
      </c>
      <c r="C530">
        <v>170.68</v>
      </c>
      <c r="D530">
        <v>142</v>
      </c>
      <c r="E530">
        <v>1.201971830985916</v>
      </c>
      <c r="F530">
        <v>0.02109210217951723</v>
      </c>
      <c r="G530">
        <v>-0.0361240547414885</v>
      </c>
      <c r="H530">
        <v>0.075</v>
      </c>
      <c r="I530">
        <v>0.05656675620788887</v>
      </c>
      <c r="J530" t="s">
        <v>498</v>
      </c>
      <c r="K530" t="s">
        <v>763</v>
      </c>
      <c r="L530">
        <v>5.93</v>
      </c>
      <c r="M530">
        <v>3.6</v>
      </c>
      <c r="N530">
        <v>0.6070826306913997</v>
      </c>
      <c r="O530">
        <v>11</v>
      </c>
      <c r="P530">
        <v>0.04978904632428516</v>
      </c>
      <c r="Q530">
        <v>0.384830830737162</v>
      </c>
      <c r="R530" t="s">
        <v>767</v>
      </c>
      <c r="S530" t="s">
        <v>779</v>
      </c>
      <c r="T530">
        <v>6936.391585</v>
      </c>
      <c r="U530" s="2">
        <v>44406</v>
      </c>
      <c r="V530" t="s">
        <v>780</v>
      </c>
    </row>
    <row r="531" spans="1:22">
      <c r="A531" s="1" t="s">
        <v>551</v>
      </c>
      <c r="B531">
        <f>HYPERLINK("https://www.suredividend.com/sure-analysis-BXP/","Boston Properties, Inc.")</f>
        <v>0</v>
      </c>
      <c r="C531">
        <v>113.01</v>
      </c>
      <c r="D531">
        <v>105</v>
      </c>
      <c r="E531">
        <v>1.076285714285714</v>
      </c>
      <c r="F531">
        <v>0.03468719582337846</v>
      </c>
      <c r="G531">
        <v>-0.01459562793864255</v>
      </c>
      <c r="H531">
        <v>0.04</v>
      </c>
      <c r="I531">
        <v>0.05534980284820556</v>
      </c>
      <c r="J531" t="s">
        <v>498</v>
      </c>
      <c r="K531" t="s">
        <v>498</v>
      </c>
      <c r="L531">
        <v>6.56</v>
      </c>
      <c r="M531">
        <v>3.92</v>
      </c>
      <c r="N531">
        <v>0.5975609756097561</v>
      </c>
      <c r="O531">
        <v>5</v>
      </c>
      <c r="P531">
        <v>0.01000199077119301</v>
      </c>
      <c r="Q531">
        <v>0.48219129692068</v>
      </c>
      <c r="R531" t="s">
        <v>767</v>
      </c>
      <c r="S531" t="s">
        <v>779</v>
      </c>
      <c r="T531">
        <v>17561.224066</v>
      </c>
      <c r="U531" s="2">
        <v>44411</v>
      </c>
      <c r="V531" t="s">
        <v>790</v>
      </c>
    </row>
    <row r="532" spans="1:22">
      <c r="A532" s="1" t="s">
        <v>552</v>
      </c>
      <c r="B532">
        <f>HYPERLINK("https://www.suredividend.com/sure-analysis-UE/","Urban Edge Properties")</f>
        <v>0</v>
      </c>
      <c r="C532">
        <v>18.33</v>
      </c>
      <c r="D532">
        <v>18</v>
      </c>
      <c r="E532">
        <v>1.018333333333333</v>
      </c>
      <c r="F532">
        <v>0.03273322422258593</v>
      </c>
      <c r="G532">
        <v>-0.00362686776002008</v>
      </c>
      <c r="H532">
        <v>0.03</v>
      </c>
      <c r="I532">
        <v>0.05499798271759326</v>
      </c>
      <c r="J532" t="s">
        <v>498</v>
      </c>
      <c r="K532" t="s">
        <v>498</v>
      </c>
      <c r="L532">
        <v>1.08</v>
      </c>
      <c r="M532">
        <v>0.6</v>
      </c>
      <c r="N532">
        <v>0.5555555555555555</v>
      </c>
      <c r="O532">
        <v>0</v>
      </c>
      <c r="P532">
        <v>0.009805797673485328</v>
      </c>
      <c r="Q532">
        <v>1.130369341206437</v>
      </c>
      <c r="R532" t="s">
        <v>767</v>
      </c>
      <c r="S532" t="s">
        <v>779</v>
      </c>
      <c r="T532">
        <v>2155.315188</v>
      </c>
      <c r="U532" s="2">
        <v>44426</v>
      </c>
      <c r="V532" t="s">
        <v>782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23.67</v>
      </c>
      <c r="D533">
        <v>19</v>
      </c>
      <c r="E533">
        <v>1.245789473684211</v>
      </c>
      <c r="F533">
        <v>0.02534854245880861</v>
      </c>
      <c r="G533">
        <v>-0.04300191528305464</v>
      </c>
      <c r="H533">
        <v>0.075</v>
      </c>
      <c r="I533">
        <v>0.05386718527236556</v>
      </c>
      <c r="J533" t="s">
        <v>498</v>
      </c>
      <c r="K533" t="s">
        <v>498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0.359774025658947</v>
      </c>
      <c r="R533" t="s">
        <v>765</v>
      </c>
      <c r="S533" t="s">
        <v>778</v>
      </c>
      <c r="T533">
        <v>15686.108256</v>
      </c>
      <c r="U533" s="2">
        <v>44417</v>
      </c>
      <c r="V533" t="s">
        <v>782</v>
      </c>
    </row>
    <row r="534" spans="1:22">
      <c r="A534" s="1" t="s">
        <v>554</v>
      </c>
      <c r="B534">
        <f>HYPERLINK("https://www.suredividend.com/sure-analysis-ING/","ING Groep N.V.")</f>
        <v>0</v>
      </c>
      <c r="C534">
        <v>13.97</v>
      </c>
      <c r="D534">
        <v>13.3</v>
      </c>
      <c r="E534">
        <v>1.050375939849624</v>
      </c>
      <c r="F534">
        <v>0.05082319255547602</v>
      </c>
      <c r="G534">
        <v>-0.009781474722905581</v>
      </c>
      <c r="H534">
        <v>0.01</v>
      </c>
      <c r="I534">
        <v>0.05326510506000615</v>
      </c>
      <c r="J534" t="s">
        <v>498</v>
      </c>
      <c r="K534" t="s">
        <v>358</v>
      </c>
      <c r="L534">
        <v>1.33</v>
      </c>
      <c r="M534">
        <v>0.71</v>
      </c>
      <c r="N534">
        <v>0.5338345864661653</v>
      </c>
      <c r="O534">
        <v>0</v>
      </c>
      <c r="P534">
        <v>0.05088842545712402</v>
      </c>
      <c r="Q534">
        <v>1.085266908176402</v>
      </c>
      <c r="R534" t="s">
        <v>765</v>
      </c>
      <c r="S534" t="s">
        <v>773</v>
      </c>
      <c r="T534">
        <v>54383.117688</v>
      </c>
      <c r="U534" s="2">
        <v>44416</v>
      </c>
      <c r="V534" t="s">
        <v>780</v>
      </c>
    </row>
    <row r="535" spans="1:22">
      <c r="A535" s="1" t="s">
        <v>555</v>
      </c>
      <c r="B535">
        <f>HYPERLINK("https://www.suredividend.com/sure-analysis-PLD/","Prologis Inc")</f>
        <v>0</v>
      </c>
      <c r="C535">
        <v>128.38</v>
      </c>
      <c r="D535">
        <v>97</v>
      </c>
      <c r="E535">
        <v>1.323505154639175</v>
      </c>
      <c r="F535">
        <v>0.01962922573609597</v>
      </c>
      <c r="G535">
        <v>-0.0545145006369423</v>
      </c>
      <c r="H535">
        <v>0.09</v>
      </c>
      <c r="I535">
        <v>0.05173307679001082</v>
      </c>
      <c r="J535" t="s">
        <v>498</v>
      </c>
      <c r="K535" t="s">
        <v>763</v>
      </c>
      <c r="L535">
        <v>4.06</v>
      </c>
      <c r="M535">
        <v>2.52</v>
      </c>
      <c r="N535">
        <v>0.6206896551724138</v>
      </c>
      <c r="O535">
        <v>8</v>
      </c>
      <c r="P535">
        <v>0.07984205343909734</v>
      </c>
      <c r="Q535">
        <v>0.3816799787235861</v>
      </c>
      <c r="R535" t="s">
        <v>767</v>
      </c>
      <c r="S535" t="s">
        <v>779</v>
      </c>
      <c r="T535">
        <v>95245.09884000001</v>
      </c>
      <c r="U535" s="2">
        <v>44397</v>
      </c>
      <c r="V535" t="s">
        <v>780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38.295</v>
      </c>
      <c r="D536">
        <v>34</v>
      </c>
      <c r="E536">
        <v>1.126323529411765</v>
      </c>
      <c r="F536">
        <v>0.02506854680767724</v>
      </c>
      <c r="G536">
        <v>-0.02351097021638793</v>
      </c>
      <c r="H536">
        <v>0.05</v>
      </c>
      <c r="I536">
        <v>0.05055685156031342</v>
      </c>
      <c r="J536" t="s">
        <v>498</v>
      </c>
      <c r="K536" t="s">
        <v>498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0.265085449341345</v>
      </c>
      <c r="R536" t="s">
        <v>765</v>
      </c>
      <c r="S536" t="s">
        <v>777</v>
      </c>
      <c r="T536">
        <v>32273.874155</v>
      </c>
      <c r="U536" s="2">
        <v>44405</v>
      </c>
      <c r="V536" t="s">
        <v>784</v>
      </c>
    </row>
    <row r="537" spans="1:22">
      <c r="A537" s="1" t="s">
        <v>557</v>
      </c>
      <c r="B537">
        <f>HYPERLINK("https://www.suredividend.com/sure-analysis-STX/","Seagate Technology Holdings Plc")</f>
        <v>0</v>
      </c>
      <c r="C537">
        <v>85.91</v>
      </c>
      <c r="D537">
        <v>82</v>
      </c>
      <c r="E537">
        <v>1.047682926829268</v>
      </c>
      <c r="F537">
        <v>0.03119543708532185</v>
      </c>
      <c r="G537">
        <v>-0.009272936553615718</v>
      </c>
      <c r="H537">
        <v>0.03</v>
      </c>
      <c r="I537">
        <v>0.04970861280599426</v>
      </c>
      <c r="J537" t="s">
        <v>498</v>
      </c>
      <c r="K537" t="s">
        <v>498</v>
      </c>
      <c r="L537">
        <v>8.15</v>
      </c>
      <c r="M537">
        <v>2.68</v>
      </c>
      <c r="N537">
        <v>0.3288343558282208</v>
      </c>
      <c r="O537">
        <v>2</v>
      </c>
      <c r="P537">
        <v>0.02485297676488085</v>
      </c>
      <c r="Q537">
        <v>-0.138886019859086</v>
      </c>
      <c r="R537" t="s">
        <v>765</v>
      </c>
      <c r="S537" t="s">
        <v>777</v>
      </c>
      <c r="T537">
        <v>19355.364307</v>
      </c>
      <c r="U537" s="2">
        <v>44415</v>
      </c>
      <c r="V537" t="s">
        <v>783</v>
      </c>
    </row>
    <row r="538" spans="1:22">
      <c r="A538" s="1" t="s">
        <v>558</v>
      </c>
      <c r="B538">
        <f>HYPERLINK("https://www.suredividend.com/sure-analysis-SMFG/","Sumitomo Mitsui Financial Group Inc")</f>
        <v>0</v>
      </c>
      <c r="C538">
        <v>7.29</v>
      </c>
      <c r="D538">
        <v>7.15</v>
      </c>
      <c r="E538">
        <v>1.019580419580419</v>
      </c>
      <c r="F538">
        <v>0.04663923182441701</v>
      </c>
      <c r="G538">
        <v>-0.00387072721097137</v>
      </c>
      <c r="H538">
        <v>0.01</v>
      </c>
      <c r="I538">
        <v>0.04932589637666762</v>
      </c>
      <c r="J538" t="s">
        <v>498</v>
      </c>
      <c r="K538" t="s">
        <v>358</v>
      </c>
      <c r="L538">
        <v>0.65</v>
      </c>
      <c r="M538">
        <v>0.34</v>
      </c>
      <c r="N538">
        <v>0.5230769230769231</v>
      </c>
      <c r="O538">
        <v>0</v>
      </c>
      <c r="P538">
        <v>0.01149727415513624</v>
      </c>
      <c r="Q538">
        <v>0.325978959672706</v>
      </c>
      <c r="R538" t="s">
        <v>765</v>
      </c>
      <c r="S538" t="s">
        <v>773</v>
      </c>
      <c r="T538">
        <v>49889.344303</v>
      </c>
      <c r="U538" s="2">
        <v>44429</v>
      </c>
      <c r="V538" t="s">
        <v>785</v>
      </c>
    </row>
    <row r="539" spans="1:22">
      <c r="A539" s="1" t="s">
        <v>559</v>
      </c>
      <c r="B539">
        <f>HYPERLINK("https://www.suredividend.com/sure-analysis-VER/","VEREIT Inc")</f>
        <v>0</v>
      </c>
      <c r="C539">
        <v>47.25</v>
      </c>
      <c r="D539">
        <v>44.9</v>
      </c>
      <c r="E539">
        <v>1.052338530066815</v>
      </c>
      <c r="F539">
        <v>0.03957671957671958</v>
      </c>
      <c r="G539">
        <v>-0.01015109809316261</v>
      </c>
      <c r="H539">
        <v>0.017</v>
      </c>
      <c r="I539">
        <v>0.04899208835771329</v>
      </c>
      <c r="J539" t="s">
        <v>498</v>
      </c>
      <c r="K539" t="s">
        <v>498</v>
      </c>
      <c r="L539">
        <v>3.21</v>
      </c>
      <c r="M539">
        <v>1.87</v>
      </c>
      <c r="N539">
        <v>0.5825545171339565</v>
      </c>
      <c r="O539">
        <v>0</v>
      </c>
      <c r="P539">
        <v>0.05978966607306524</v>
      </c>
      <c r="Q539">
        <v>0.631409969956757</v>
      </c>
      <c r="R539" t="s">
        <v>765</v>
      </c>
      <c r="S539" t="s">
        <v>779</v>
      </c>
      <c r="T539">
        <v>10875.440775</v>
      </c>
      <c r="U539" s="2">
        <v>44421</v>
      </c>
      <c r="V539" t="s">
        <v>790</v>
      </c>
    </row>
    <row r="540" spans="1:22">
      <c r="A540" s="1" t="s">
        <v>560</v>
      </c>
      <c r="B540">
        <f>HYPERLINK("https://www.suredividend.com/sure-analysis-NTAP/","Netapp Inc")</f>
        <v>0</v>
      </c>
      <c r="C540">
        <v>93.26000000000001</v>
      </c>
      <c r="D540">
        <v>79</v>
      </c>
      <c r="E540">
        <v>1.180506329113924</v>
      </c>
      <c r="F540">
        <v>0.02144542140253056</v>
      </c>
      <c r="G540">
        <v>-0.03264398589379369</v>
      </c>
      <c r="H540">
        <v>0.06</v>
      </c>
      <c r="I540">
        <v>0.04761496856072212</v>
      </c>
      <c r="J540" t="s">
        <v>498</v>
      </c>
      <c r="K540" t="s">
        <v>498</v>
      </c>
      <c r="L540">
        <v>4.95</v>
      </c>
      <c r="M540">
        <v>2</v>
      </c>
      <c r="N540">
        <v>0.404040404040404</v>
      </c>
      <c r="O540">
        <v>7</v>
      </c>
      <c r="P540">
        <v>0.0602809527753625</v>
      </c>
      <c r="Q540">
        <v>1.308925122936949</v>
      </c>
      <c r="R540" t="s">
        <v>765</v>
      </c>
      <c r="S540" t="s">
        <v>777</v>
      </c>
      <c r="T540">
        <v>20748.337959</v>
      </c>
      <c r="U540" s="2">
        <v>44435</v>
      </c>
      <c r="V540" t="s">
        <v>784</v>
      </c>
    </row>
    <row r="541" spans="1:22">
      <c r="A541" s="1" t="s">
        <v>561</v>
      </c>
      <c r="B541">
        <f>HYPERLINK("https://www.suredividend.com/sure-analysis-APO/","Apollo Global Management Inc")</f>
        <v>0</v>
      </c>
      <c r="C541">
        <v>61.45</v>
      </c>
      <c r="D541">
        <v>51</v>
      </c>
      <c r="E541">
        <v>1.204901960784314</v>
      </c>
      <c r="F541">
        <v>0.03433685923515053</v>
      </c>
      <c r="G541">
        <v>-0.03659331000340105</v>
      </c>
      <c r="H541">
        <v>0.05</v>
      </c>
      <c r="I541">
        <v>0.04702865967043968</v>
      </c>
      <c r="J541" t="s">
        <v>498</v>
      </c>
      <c r="K541" t="s">
        <v>498</v>
      </c>
      <c r="L541">
        <v>3.9</v>
      </c>
      <c r="M541">
        <v>2.11</v>
      </c>
      <c r="N541">
        <v>0.541025641025641</v>
      </c>
      <c r="O541">
        <v>4</v>
      </c>
      <c r="P541">
        <v>0.04976953460473332</v>
      </c>
      <c r="Q541">
        <v>0.4518996041997481</v>
      </c>
      <c r="R541" t="s">
        <v>765</v>
      </c>
      <c r="S541" t="s">
        <v>773</v>
      </c>
      <c r="T541">
        <v>14428.405951</v>
      </c>
      <c r="U541" s="2">
        <v>44427</v>
      </c>
      <c r="V541" t="s">
        <v>785</v>
      </c>
    </row>
    <row r="542" spans="1:22">
      <c r="A542" s="1" t="s">
        <v>562</v>
      </c>
      <c r="B542">
        <f>HYPERLINK("https://www.suredividend.com/sure-analysis-UBS/","UBS Group AG")</f>
        <v>0</v>
      </c>
      <c r="C542">
        <v>15.855</v>
      </c>
      <c r="D542">
        <v>16</v>
      </c>
      <c r="E542">
        <v>0.9909375</v>
      </c>
      <c r="F542">
        <v>0.02333648691264585</v>
      </c>
      <c r="G542">
        <v>0.001822421445055289</v>
      </c>
      <c r="H542">
        <v>0.02</v>
      </c>
      <c r="I542">
        <v>0.04490286177786462</v>
      </c>
      <c r="J542" t="s">
        <v>498</v>
      </c>
      <c r="K542" t="s">
        <v>498</v>
      </c>
      <c r="L542">
        <v>1.35</v>
      </c>
      <c r="M542">
        <v>0.37</v>
      </c>
      <c r="N542">
        <v>0.274074074074074</v>
      </c>
      <c r="O542">
        <v>0</v>
      </c>
      <c r="P542">
        <v>0.03992533304330625</v>
      </c>
      <c r="Q542">
        <v>0.4826291079812201</v>
      </c>
      <c r="R542" t="s">
        <v>765</v>
      </c>
      <c r="S542" t="s">
        <v>773</v>
      </c>
      <c r="T542">
        <v>58461.259091</v>
      </c>
      <c r="U542" s="2">
        <v>44397</v>
      </c>
      <c r="V542" t="s">
        <v>787</v>
      </c>
    </row>
    <row r="543" spans="1:22">
      <c r="A543" s="1" t="s">
        <v>563</v>
      </c>
      <c r="B543">
        <f>HYPERLINK("https://www.suredividend.com/sure-analysis-PLYM/","Plymouth Industrial Reit Inc")</f>
        <v>0</v>
      </c>
      <c r="C543">
        <v>22.95</v>
      </c>
      <c r="D543">
        <v>19</v>
      </c>
      <c r="E543">
        <v>1.207894736842105</v>
      </c>
      <c r="F543">
        <v>0.03660130718954249</v>
      </c>
      <c r="G543">
        <v>-0.03707118645426655</v>
      </c>
      <c r="H543">
        <v>0.05</v>
      </c>
      <c r="I543">
        <v>0.0447713869211892</v>
      </c>
      <c r="J543" t="s">
        <v>498</v>
      </c>
      <c r="K543" t="s">
        <v>498</v>
      </c>
      <c r="L543">
        <v>1.46</v>
      </c>
      <c r="M543">
        <v>0.84</v>
      </c>
      <c r="N543">
        <v>0.5753424657534246</v>
      </c>
      <c r="O543">
        <v>0</v>
      </c>
      <c r="P543">
        <v>0.009347419909568888</v>
      </c>
      <c r="Q543">
        <v>0.9927536231884051</v>
      </c>
      <c r="R543" t="s">
        <v>767</v>
      </c>
      <c r="S543" t="s">
        <v>779</v>
      </c>
      <c r="T543">
        <v>705.400492</v>
      </c>
      <c r="U543" s="2">
        <v>44430</v>
      </c>
      <c r="V543" t="s">
        <v>782</v>
      </c>
    </row>
    <row r="544" spans="1:22">
      <c r="A544" s="1" t="s">
        <v>564</v>
      </c>
      <c r="B544">
        <f>HYPERLINK("https://www.suredividend.com/sure-analysis-CAJ/","Canon Inc")</f>
        <v>0</v>
      </c>
      <c r="C544">
        <v>24.58</v>
      </c>
      <c r="D544">
        <v>22</v>
      </c>
      <c r="E544">
        <v>1.117272727272727</v>
      </c>
      <c r="F544">
        <v>0.02969894222945484</v>
      </c>
      <c r="G544">
        <v>-0.02193400351534924</v>
      </c>
      <c r="H544">
        <v>0.04</v>
      </c>
      <c r="I544">
        <v>0.04353034675841472</v>
      </c>
      <c r="J544" t="s">
        <v>498</v>
      </c>
      <c r="K544" t="s">
        <v>498</v>
      </c>
      <c r="L544">
        <v>1.8</v>
      </c>
      <c r="M544">
        <v>0.73</v>
      </c>
      <c r="N544">
        <v>0.4055555555555556</v>
      </c>
      <c r="O544">
        <v>0</v>
      </c>
      <c r="P544">
        <v>0</v>
      </c>
      <c r="Q544">
        <v>0.564851038218477</v>
      </c>
      <c r="R544" t="s">
        <v>765</v>
      </c>
      <c r="S544" t="s">
        <v>777</v>
      </c>
      <c r="T544">
        <v>32597.17906</v>
      </c>
      <c r="U544" s="2">
        <v>44410</v>
      </c>
      <c r="V544" t="s">
        <v>783</v>
      </c>
    </row>
    <row r="545" spans="1:22">
      <c r="A545" s="1" t="s">
        <v>565</v>
      </c>
      <c r="B545">
        <f>HYPERLINK("https://www.suredividend.com/sure-analysis-TU/","Telus Corp.")</f>
        <v>0</v>
      </c>
      <c r="C545">
        <v>22.5</v>
      </c>
      <c r="D545">
        <v>15</v>
      </c>
      <c r="E545">
        <v>1.5</v>
      </c>
      <c r="F545">
        <v>0.04577777777777778</v>
      </c>
      <c r="G545">
        <v>-0.07789208851827223</v>
      </c>
      <c r="H545">
        <v>0.08</v>
      </c>
      <c r="I545">
        <v>0.04216402402168895</v>
      </c>
      <c r="J545" t="s">
        <v>498</v>
      </c>
      <c r="K545" t="s">
        <v>358</v>
      </c>
      <c r="L545">
        <v>0.95</v>
      </c>
      <c r="M545">
        <v>1.03</v>
      </c>
      <c r="N545">
        <v>1.08421052631579</v>
      </c>
      <c r="O545">
        <v>13</v>
      </c>
      <c r="P545">
        <v>0.02929993970978573</v>
      </c>
      <c r="Q545">
        <v>0.349430551012519</v>
      </c>
      <c r="R545" t="s">
        <v>765</v>
      </c>
      <c r="S545" t="s">
        <v>769</v>
      </c>
      <c r="T545">
        <v>30876.109023</v>
      </c>
      <c r="U545" s="2">
        <v>44439</v>
      </c>
      <c r="V545" t="s">
        <v>787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20.96</v>
      </c>
      <c r="D546">
        <v>17</v>
      </c>
      <c r="E546">
        <v>1.232941176470588</v>
      </c>
      <c r="F546">
        <v>0.03435114503816793</v>
      </c>
      <c r="G546">
        <v>-0.04101563059503888</v>
      </c>
      <c r="H546">
        <v>0.05</v>
      </c>
      <c r="I546">
        <v>0.03930476043189857</v>
      </c>
      <c r="J546" t="s">
        <v>498</v>
      </c>
      <c r="K546" t="s">
        <v>498</v>
      </c>
      <c r="L546">
        <v>1.32</v>
      </c>
      <c r="M546">
        <v>0.72</v>
      </c>
      <c r="N546">
        <v>0.5454545454545454</v>
      </c>
      <c r="O546">
        <v>1</v>
      </c>
      <c r="P546">
        <v>0.01087212085035083</v>
      </c>
      <c r="Q546">
        <v>1.033352412180712</v>
      </c>
      <c r="R546" t="s">
        <v>767</v>
      </c>
      <c r="S546" t="s">
        <v>779</v>
      </c>
      <c r="T546">
        <v>1772.491182</v>
      </c>
      <c r="U546" s="2">
        <v>44426</v>
      </c>
      <c r="V546" t="s">
        <v>782</v>
      </c>
    </row>
    <row r="547" spans="1:22">
      <c r="A547" s="1" t="s">
        <v>567</v>
      </c>
      <c r="B547">
        <f>HYPERLINK("https://www.suredividend.com/sure-analysis-IP/","International Paper Co.")</f>
        <v>0</v>
      </c>
      <c r="C547">
        <v>57.505</v>
      </c>
      <c r="D547">
        <v>46</v>
      </c>
      <c r="E547">
        <v>1.250108695652174</v>
      </c>
      <c r="F547">
        <v>0.03564907399356577</v>
      </c>
      <c r="G547">
        <v>-0.04366413155963811</v>
      </c>
      <c r="H547">
        <v>0.05</v>
      </c>
      <c r="I547">
        <v>0.03920745413034976</v>
      </c>
      <c r="J547" t="s">
        <v>498</v>
      </c>
      <c r="K547" t="s">
        <v>358</v>
      </c>
      <c r="L547">
        <v>4.6</v>
      </c>
      <c r="M547">
        <v>2.05</v>
      </c>
      <c r="N547">
        <v>0.4456521739130435</v>
      </c>
      <c r="O547">
        <v>10</v>
      </c>
      <c r="P547">
        <v>0.02328072821538041</v>
      </c>
      <c r="Q547">
        <v>0.510502089836516</v>
      </c>
      <c r="R547" t="s">
        <v>765</v>
      </c>
      <c r="S547" t="s">
        <v>775</v>
      </c>
      <c r="T547">
        <v>22316.656459</v>
      </c>
      <c r="U547" s="2">
        <v>44435</v>
      </c>
      <c r="V547" t="s">
        <v>787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70.90000000000001</v>
      </c>
      <c r="D548">
        <v>51</v>
      </c>
      <c r="E548">
        <v>1.390196078431373</v>
      </c>
      <c r="F548">
        <v>0.01466854724964739</v>
      </c>
      <c r="G548">
        <v>-0.06376518211817861</v>
      </c>
      <c r="H548">
        <v>0.09</v>
      </c>
      <c r="I548">
        <v>0.03801577041836657</v>
      </c>
      <c r="J548" t="s">
        <v>498</v>
      </c>
      <c r="K548" t="s">
        <v>763</v>
      </c>
      <c r="L548">
        <v>2.36</v>
      </c>
      <c r="M548">
        <v>1.04</v>
      </c>
      <c r="N548">
        <v>0.440677966101695</v>
      </c>
      <c r="O548">
        <v>0</v>
      </c>
      <c r="P548">
        <v>0.09935163429189564</v>
      </c>
      <c r="Q548">
        <v>0.352085309507053</v>
      </c>
      <c r="R548" t="s">
        <v>765</v>
      </c>
      <c r="S548" t="s">
        <v>775</v>
      </c>
      <c r="T548">
        <v>85019.521228</v>
      </c>
      <c r="U548" s="2">
        <v>44429</v>
      </c>
      <c r="V548" t="s">
        <v>789</v>
      </c>
    </row>
    <row r="549" spans="1:22">
      <c r="A549" s="1" t="s">
        <v>569</v>
      </c>
      <c r="B549">
        <f>HYPERLINK("https://www.suredividend.com/sure-analysis-EOG/","EOG Resources, Inc.")</f>
        <v>0</v>
      </c>
      <c r="C549">
        <v>78.2</v>
      </c>
      <c r="D549">
        <v>72</v>
      </c>
      <c r="E549">
        <v>1.086111111111111</v>
      </c>
      <c r="F549">
        <v>0.0210997442455243</v>
      </c>
      <c r="G549">
        <v>-0.01638498726447568</v>
      </c>
      <c r="H549">
        <v>0.03</v>
      </c>
      <c r="I549">
        <v>0.03729212979919017</v>
      </c>
      <c r="J549" t="s">
        <v>498</v>
      </c>
      <c r="K549" t="s">
        <v>498</v>
      </c>
      <c r="L549">
        <v>4</v>
      </c>
      <c r="M549">
        <v>1.65</v>
      </c>
      <c r="N549">
        <v>0.4125</v>
      </c>
      <c r="O549">
        <v>4</v>
      </c>
      <c r="P549">
        <v>0.0796084730466029</v>
      </c>
      <c r="Q549">
        <v>1.187037669284169</v>
      </c>
      <c r="R549" t="s">
        <v>765</v>
      </c>
      <c r="S549" t="s">
        <v>778</v>
      </c>
      <c r="T549">
        <v>44881.330192</v>
      </c>
      <c r="U549" s="2">
        <v>44417</v>
      </c>
      <c r="V549" t="s">
        <v>791</v>
      </c>
    </row>
    <row r="550" spans="1:22">
      <c r="A550" s="1" t="s">
        <v>570</v>
      </c>
      <c r="B550">
        <f>HYPERLINK("https://www.suredividend.com/sure-analysis-TSM/","Taiwan Semiconductor Manufacturing")</f>
        <v>0</v>
      </c>
      <c r="C550">
        <v>115.92</v>
      </c>
      <c r="D550">
        <v>72</v>
      </c>
      <c r="E550">
        <v>1.61</v>
      </c>
      <c r="F550">
        <v>0.01621808143547274</v>
      </c>
      <c r="G550">
        <v>-0.09085150362606875</v>
      </c>
      <c r="H550">
        <v>0.12</v>
      </c>
      <c r="I550">
        <v>0.03667430358356194</v>
      </c>
      <c r="J550" t="s">
        <v>498</v>
      </c>
      <c r="K550" t="s">
        <v>763</v>
      </c>
      <c r="L550">
        <v>4.05</v>
      </c>
      <c r="M550">
        <v>1.88</v>
      </c>
      <c r="N550">
        <v>0.4641975308641975</v>
      </c>
      <c r="O550">
        <v>7</v>
      </c>
      <c r="P550">
        <v>0.07981721406627784</v>
      </c>
      <c r="Q550">
        <v>0.515048780424197</v>
      </c>
      <c r="R550" t="s">
        <v>765</v>
      </c>
      <c r="S550" t="s">
        <v>777</v>
      </c>
      <c r="T550">
        <v>602570.181129</v>
      </c>
      <c r="U550" s="2">
        <v>44392</v>
      </c>
      <c r="V550" t="s">
        <v>787</v>
      </c>
    </row>
    <row r="551" spans="1:22">
      <c r="A551" s="1" t="s">
        <v>571</v>
      </c>
      <c r="B551">
        <f>HYPERLINK("https://www.suredividend.com/sure-analysis-SUUIF/","Superior Plus Corp.")</f>
        <v>0</v>
      </c>
      <c r="C551">
        <v>11.24</v>
      </c>
      <c r="D551">
        <v>10.6</v>
      </c>
      <c r="E551">
        <v>1.060377358490566</v>
      </c>
      <c r="F551">
        <v>0.05071174377224199</v>
      </c>
      <c r="G551">
        <v>-0.01165649908685484</v>
      </c>
      <c r="H551">
        <v>0</v>
      </c>
      <c r="I551">
        <v>0.03655224031812421</v>
      </c>
      <c r="J551" t="s">
        <v>498</v>
      </c>
      <c r="K551" t="s">
        <v>762</v>
      </c>
      <c r="L551">
        <v>1.75</v>
      </c>
      <c r="M551">
        <v>0.57</v>
      </c>
      <c r="N551">
        <v>0.3257142857142857</v>
      </c>
      <c r="O551">
        <v>0</v>
      </c>
      <c r="P551">
        <v>0</v>
      </c>
      <c r="Q551">
        <v>0.236523652365236</v>
      </c>
      <c r="R551" t="s">
        <v>765</v>
      </c>
      <c r="S551" t="s">
        <v>776</v>
      </c>
      <c r="T551">
        <v>1978.708562</v>
      </c>
      <c r="U551" s="2">
        <v>44422</v>
      </c>
      <c r="V551" t="s">
        <v>780</v>
      </c>
    </row>
    <row r="552" spans="1:22">
      <c r="A552" s="1" t="s">
        <v>572</v>
      </c>
      <c r="B552">
        <f>HYPERLINK("https://www.suredividend.com/sure-analysis-DOC/","Physicians Realty Trust")</f>
        <v>0</v>
      </c>
      <c r="C552">
        <v>18.51</v>
      </c>
      <c r="D552">
        <v>16</v>
      </c>
      <c r="E552">
        <v>1.156875</v>
      </c>
      <c r="F552">
        <v>0.04970286331712587</v>
      </c>
      <c r="G552">
        <v>-0.0287238764899278</v>
      </c>
      <c r="H552">
        <v>0.017</v>
      </c>
      <c r="I552">
        <v>0.03521609207807463</v>
      </c>
      <c r="J552" t="s">
        <v>498</v>
      </c>
      <c r="K552" t="s">
        <v>762</v>
      </c>
      <c r="L552">
        <v>1.08</v>
      </c>
      <c r="M552">
        <v>0.92</v>
      </c>
      <c r="N552">
        <v>0.8518518518518519</v>
      </c>
      <c r="O552">
        <v>0</v>
      </c>
      <c r="P552">
        <v>0</v>
      </c>
      <c r="Q552">
        <v>0.157904624729936</v>
      </c>
      <c r="R552" t="s">
        <v>767</v>
      </c>
      <c r="S552" t="s">
        <v>779</v>
      </c>
      <c r="T552">
        <v>4019.834499</v>
      </c>
      <c r="U552" s="2">
        <v>44413</v>
      </c>
      <c r="V552" t="s">
        <v>781</v>
      </c>
    </row>
    <row r="553" spans="1:22">
      <c r="A553" s="1" t="s">
        <v>573</v>
      </c>
      <c r="B553">
        <f>HYPERLINK("https://www.suredividend.com/sure-analysis-KTB/","Kontoor Brands Inc")</f>
        <v>0</v>
      </c>
      <c r="C553">
        <v>53.06</v>
      </c>
      <c r="D553">
        <v>47</v>
      </c>
      <c r="E553">
        <v>1.128936170212766</v>
      </c>
      <c r="F553">
        <v>0.03015454202789295</v>
      </c>
      <c r="G553">
        <v>-0.02396335717908227</v>
      </c>
      <c r="H553">
        <v>0.03</v>
      </c>
      <c r="I553">
        <v>0.03490269079720365</v>
      </c>
      <c r="J553" t="s">
        <v>498</v>
      </c>
      <c r="K553" t="s">
        <v>498</v>
      </c>
      <c r="L553">
        <v>3.95</v>
      </c>
      <c r="M553">
        <v>1.6</v>
      </c>
      <c r="N553">
        <v>0.4050632911392405</v>
      </c>
      <c r="O553">
        <v>0</v>
      </c>
      <c r="P553">
        <v>0.0204004858967195</v>
      </c>
      <c r="Q553">
        <v>1.461140492596325</v>
      </c>
      <c r="R553" t="s">
        <v>765</v>
      </c>
      <c r="S553" t="s">
        <v>775</v>
      </c>
      <c r="T553">
        <v>3083.292797</v>
      </c>
      <c r="U553" s="2">
        <v>44433</v>
      </c>
      <c r="V553" t="s">
        <v>783</v>
      </c>
    </row>
    <row r="554" spans="1:22">
      <c r="A554" s="1" t="s">
        <v>574</v>
      </c>
      <c r="B554">
        <f>HYPERLINK("https://www.suredividend.com/sure-analysis-CMA/","Comerica, Inc.")</f>
        <v>0</v>
      </c>
      <c r="C554">
        <v>79.03</v>
      </c>
      <c r="D554">
        <v>83</v>
      </c>
      <c r="E554">
        <v>0.9521686746987952</v>
      </c>
      <c r="F554">
        <v>0.03441730988232317</v>
      </c>
      <c r="G554">
        <v>0.009850819133779831</v>
      </c>
      <c r="H554">
        <v>-0.01</v>
      </c>
      <c r="I554">
        <v>0.03485460547980335</v>
      </c>
      <c r="J554" t="s">
        <v>498</v>
      </c>
      <c r="K554" t="s">
        <v>358</v>
      </c>
      <c r="L554">
        <v>7.5</v>
      </c>
      <c r="M554">
        <v>2.72</v>
      </c>
      <c r="N554">
        <v>0.3626666666666667</v>
      </c>
      <c r="O554">
        <v>11</v>
      </c>
      <c r="P554">
        <v>0.02978919320783269</v>
      </c>
      <c r="Q554">
        <v>1.20668553944697</v>
      </c>
      <c r="R554" t="s">
        <v>765</v>
      </c>
      <c r="S554" t="s">
        <v>773</v>
      </c>
      <c r="T554">
        <v>10334.888071</v>
      </c>
      <c r="U554" s="2">
        <v>44398</v>
      </c>
      <c r="V554" t="s">
        <v>784</v>
      </c>
    </row>
    <row r="555" spans="1:22">
      <c r="A555" s="1" t="s">
        <v>575</v>
      </c>
      <c r="B555">
        <f>HYPERLINK("https://www.suredividend.com/sure-analysis-MAC/","Macerich Co.")</f>
        <v>0</v>
      </c>
      <c r="C555">
        <v>18.1</v>
      </c>
      <c r="D555">
        <v>15</v>
      </c>
      <c r="E555">
        <v>1.206666666666667</v>
      </c>
      <c r="F555">
        <v>0.03314917127071823</v>
      </c>
      <c r="G555">
        <v>-0.03687526440296884</v>
      </c>
      <c r="H555">
        <v>0.03</v>
      </c>
      <c r="I555">
        <v>0.03198981150964797</v>
      </c>
      <c r="J555" t="s">
        <v>498</v>
      </c>
      <c r="K555" t="s">
        <v>358</v>
      </c>
      <c r="L555">
        <v>1.93</v>
      </c>
      <c r="M555">
        <v>0.6</v>
      </c>
      <c r="N555">
        <v>0.310880829015544</v>
      </c>
      <c r="O555">
        <v>0</v>
      </c>
      <c r="P555">
        <v>0.0796084730466029</v>
      </c>
      <c r="Q555">
        <v>1.859207591039054</v>
      </c>
      <c r="R555" t="s">
        <v>767</v>
      </c>
      <c r="S555" t="s">
        <v>779</v>
      </c>
      <c r="T555">
        <v>3876.761944</v>
      </c>
      <c r="U555" s="2">
        <v>44435</v>
      </c>
      <c r="V555" t="s">
        <v>787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59.99</v>
      </c>
      <c r="D556">
        <v>59</v>
      </c>
      <c r="E556">
        <v>1.016779661016949</v>
      </c>
      <c r="F556">
        <v>0.03067177862977163</v>
      </c>
      <c r="G556">
        <v>-0.003322555607113808</v>
      </c>
      <c r="H556">
        <v>0</v>
      </c>
      <c r="I556">
        <v>0.03130958023171848</v>
      </c>
      <c r="J556" t="s">
        <v>498</v>
      </c>
      <c r="K556" t="s">
        <v>358</v>
      </c>
      <c r="L556">
        <v>4.95</v>
      </c>
      <c r="M556">
        <v>1.84</v>
      </c>
      <c r="N556">
        <v>0.3717171717171717</v>
      </c>
      <c r="O556">
        <v>10</v>
      </c>
      <c r="P556">
        <v>0.05979888147511248</v>
      </c>
      <c r="Q556">
        <v>0.78111162514044</v>
      </c>
      <c r="R556" t="s">
        <v>765</v>
      </c>
      <c r="S556" t="s">
        <v>773</v>
      </c>
      <c r="T556">
        <v>87904.700713</v>
      </c>
      <c r="U556" s="2">
        <v>44395</v>
      </c>
      <c r="V556" t="s">
        <v>785</v>
      </c>
    </row>
    <row r="557" spans="1:22">
      <c r="A557" s="1" t="s">
        <v>577</v>
      </c>
      <c r="B557">
        <f>HYPERLINK("https://www.suredividend.com/sure-analysis-MPWR/","Monolithic Power System Inc")</f>
        <v>0</v>
      </c>
      <c r="C557">
        <v>513.965</v>
      </c>
      <c r="D557">
        <v>262</v>
      </c>
      <c r="E557">
        <v>1.961698473282443</v>
      </c>
      <c r="F557">
        <v>0.004669578667808118</v>
      </c>
      <c r="G557">
        <v>-0.1260762355826128</v>
      </c>
      <c r="H557">
        <v>0.17</v>
      </c>
      <c r="I557">
        <v>0.03000765737444988</v>
      </c>
      <c r="J557" t="s">
        <v>498</v>
      </c>
      <c r="K557" t="s">
        <v>763</v>
      </c>
      <c r="L557">
        <v>7.08</v>
      </c>
      <c r="M557">
        <v>2.4</v>
      </c>
      <c r="N557">
        <v>0.3389830508474576</v>
      </c>
      <c r="O557">
        <v>4</v>
      </c>
      <c r="P557">
        <v>0.1999209000665154</v>
      </c>
      <c r="Q557">
        <v>1.067693344802991</v>
      </c>
      <c r="R557" t="s">
        <v>765</v>
      </c>
      <c r="S557" t="s">
        <v>777</v>
      </c>
      <c r="T557">
        <v>23775.08</v>
      </c>
      <c r="U557" s="2">
        <v>44418</v>
      </c>
      <c r="V557" t="s">
        <v>780</v>
      </c>
    </row>
    <row r="558" spans="1:22">
      <c r="A558" s="1" t="s">
        <v>578</v>
      </c>
      <c r="B558">
        <f>HYPERLINK("https://www.suredividend.com/sure-analysis-SKT/","Tanger Factory Outlet Centers, Inc.")</f>
        <v>0</v>
      </c>
      <c r="C558">
        <v>17.4</v>
      </c>
      <c r="D558">
        <v>15</v>
      </c>
      <c r="E558">
        <v>1.16</v>
      </c>
      <c r="F558">
        <v>0.04195402298850575</v>
      </c>
      <c r="G558">
        <v>-0.02924775819909686</v>
      </c>
      <c r="H558">
        <v>0.015</v>
      </c>
      <c r="I558">
        <v>0.02750670677532496</v>
      </c>
      <c r="J558" t="s">
        <v>498</v>
      </c>
      <c r="K558" t="s">
        <v>358</v>
      </c>
      <c r="L558">
        <v>1.56</v>
      </c>
      <c r="M558">
        <v>0.73</v>
      </c>
      <c r="N558">
        <v>0.4679487179487179</v>
      </c>
      <c r="O558">
        <v>1</v>
      </c>
      <c r="P558">
        <v>0.01072631497080168</v>
      </c>
      <c r="Q558">
        <v>2.124720047300808</v>
      </c>
      <c r="R558" t="s">
        <v>767</v>
      </c>
      <c r="S558" t="s">
        <v>779</v>
      </c>
      <c r="T558">
        <v>1813.014649</v>
      </c>
      <c r="U558" s="2">
        <v>44413</v>
      </c>
      <c r="V558" t="s">
        <v>782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50.485</v>
      </c>
      <c r="D559">
        <v>38</v>
      </c>
      <c r="E559">
        <v>1.328552631578947</v>
      </c>
      <c r="F559">
        <v>0.01822323462414579</v>
      </c>
      <c r="G559">
        <v>-0.05523401827867869</v>
      </c>
      <c r="H559">
        <v>0.06</v>
      </c>
      <c r="I559">
        <v>0.02340741995483131</v>
      </c>
      <c r="J559" t="s">
        <v>498</v>
      </c>
      <c r="K559" t="s">
        <v>498</v>
      </c>
      <c r="L559">
        <v>3.45</v>
      </c>
      <c r="M559">
        <v>0.92</v>
      </c>
      <c r="N559">
        <v>0.2666666666666667</v>
      </c>
      <c r="O559">
        <v>1</v>
      </c>
      <c r="P559">
        <v>0.07971513264886743</v>
      </c>
      <c r="Q559">
        <v>0.557092352539849</v>
      </c>
      <c r="R559" t="s">
        <v>765</v>
      </c>
      <c r="S559" t="s">
        <v>775</v>
      </c>
      <c r="T559">
        <v>13406.376432</v>
      </c>
      <c r="U559" s="2">
        <v>44435</v>
      </c>
      <c r="V559" t="s">
        <v>787</v>
      </c>
    </row>
    <row r="560" spans="1:22">
      <c r="A560" s="1" t="s">
        <v>580</v>
      </c>
      <c r="B560">
        <f>HYPERLINK("https://www.suredividend.com/sure-analysis-CNQ/","Canadian Natural Resources Ltd.")</f>
        <v>0</v>
      </c>
      <c r="C560">
        <v>35.1</v>
      </c>
      <c r="D560">
        <v>40</v>
      </c>
      <c r="E560">
        <v>0.8775000000000001</v>
      </c>
      <c r="F560">
        <v>0.04330484330484331</v>
      </c>
      <c r="G560">
        <v>0.02648019618477426</v>
      </c>
      <c r="H560">
        <v>-0.05</v>
      </c>
      <c r="I560">
        <v>0.02019133001413875</v>
      </c>
      <c r="J560" t="s">
        <v>498</v>
      </c>
      <c r="K560" t="s">
        <v>358</v>
      </c>
      <c r="L560">
        <v>3.3</v>
      </c>
      <c r="M560">
        <v>1.52</v>
      </c>
      <c r="N560">
        <v>0.4606060606060606</v>
      </c>
      <c r="O560">
        <v>5</v>
      </c>
      <c r="P560">
        <v>0.01031145931793609</v>
      </c>
      <c r="Q560">
        <v>1.237056437446102</v>
      </c>
      <c r="R560" t="s">
        <v>765</v>
      </c>
      <c r="S560" t="s">
        <v>778</v>
      </c>
      <c r="T560">
        <v>41544.045752</v>
      </c>
      <c r="U560" s="2">
        <v>44439</v>
      </c>
      <c r="V560" t="s">
        <v>787</v>
      </c>
    </row>
    <row r="561" spans="1:22">
      <c r="A561" s="1" t="s">
        <v>581</v>
      </c>
      <c r="B561">
        <f>HYPERLINK("https://www.suredividend.com/sure-analysis-BRX/","Brixmor Property Group Inc")</f>
        <v>0</v>
      </c>
      <c r="C561">
        <v>23.235</v>
      </c>
      <c r="D561">
        <v>20</v>
      </c>
      <c r="E561">
        <v>1.16175</v>
      </c>
      <c r="F561">
        <v>0.03701312674843985</v>
      </c>
      <c r="G561">
        <v>-0.02954039275091647</v>
      </c>
      <c r="H561">
        <v>0.006</v>
      </c>
      <c r="I561">
        <v>0.02005158280556918</v>
      </c>
      <c r="J561" t="s">
        <v>498</v>
      </c>
      <c r="K561" t="s">
        <v>498</v>
      </c>
      <c r="L561">
        <v>1.73</v>
      </c>
      <c r="M561">
        <v>0.86</v>
      </c>
      <c r="N561">
        <v>0.4971098265895953</v>
      </c>
      <c r="O561">
        <v>0</v>
      </c>
      <c r="P561">
        <v>0.05425073941302982</v>
      </c>
      <c r="Q561">
        <v>1.19181434043234</v>
      </c>
      <c r="R561" t="s">
        <v>767</v>
      </c>
      <c r="S561" t="s">
        <v>779</v>
      </c>
      <c r="T561">
        <v>6916.619879</v>
      </c>
      <c r="U561" s="2">
        <v>44421</v>
      </c>
      <c r="V561" t="s">
        <v>789</v>
      </c>
    </row>
    <row r="562" spans="1:22">
      <c r="A562" s="1" t="s">
        <v>582</v>
      </c>
      <c r="B562">
        <f>HYPERLINK("https://www.suredividend.com/sure-analysis-LXP/","Lexington Realty Trust")</f>
        <v>0</v>
      </c>
      <c r="C562">
        <v>13.025</v>
      </c>
      <c r="D562">
        <v>11</v>
      </c>
      <c r="E562">
        <v>1.184090909090909</v>
      </c>
      <c r="F562">
        <v>0.03301343570057581</v>
      </c>
      <c r="G562">
        <v>-0.03323038876832674</v>
      </c>
      <c r="H562">
        <v>0.02</v>
      </c>
      <c r="I562">
        <v>0.01962909544902969</v>
      </c>
      <c r="J562" t="s">
        <v>498</v>
      </c>
      <c r="K562" t="s">
        <v>498</v>
      </c>
      <c r="L562">
        <v>0.76</v>
      </c>
      <c r="M562">
        <v>0.43</v>
      </c>
      <c r="N562">
        <v>0.5657894736842105</v>
      </c>
      <c r="O562">
        <v>1</v>
      </c>
      <c r="P562">
        <v>0.00913393693363318</v>
      </c>
      <c r="Q562">
        <v>0.326439758792342</v>
      </c>
      <c r="R562" t="s">
        <v>767</v>
      </c>
      <c r="S562" t="s">
        <v>779</v>
      </c>
      <c r="T562">
        <v>3640.271608</v>
      </c>
      <c r="U562" s="2">
        <v>44425</v>
      </c>
      <c r="V562" t="s">
        <v>782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195.98</v>
      </c>
      <c r="D563">
        <v>140</v>
      </c>
      <c r="E563">
        <v>1.399857142857143</v>
      </c>
      <c r="F563">
        <v>0.02285947545667926</v>
      </c>
      <c r="G563">
        <v>-0.06506104268580692</v>
      </c>
      <c r="H563">
        <v>0.06</v>
      </c>
      <c r="I563">
        <v>0.01787598057174233</v>
      </c>
      <c r="J563" t="s">
        <v>498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0.289141799700403</v>
      </c>
      <c r="R563" t="s">
        <v>767</v>
      </c>
      <c r="S563" t="s">
        <v>779</v>
      </c>
      <c r="T563">
        <v>29974.372793</v>
      </c>
      <c r="U563" s="2">
        <v>44409</v>
      </c>
      <c r="V563" t="s">
        <v>784</v>
      </c>
    </row>
    <row r="564" spans="1:22">
      <c r="A564" s="1" t="s">
        <v>584</v>
      </c>
      <c r="B564">
        <f>HYPERLINK("https://www.suredividend.com/sure-analysis-CF/","CF Industries Holdings Inc")</f>
        <v>0</v>
      </c>
      <c r="C564">
        <v>54.315</v>
      </c>
      <c r="D564">
        <v>53</v>
      </c>
      <c r="E564">
        <v>1.024811320754717</v>
      </c>
      <c r="F564">
        <v>0.02209334438000552</v>
      </c>
      <c r="G564">
        <v>-0.004889709921896745</v>
      </c>
      <c r="H564">
        <v>0</v>
      </c>
      <c r="I564">
        <v>0.01668506896021471</v>
      </c>
      <c r="J564" t="s">
        <v>498</v>
      </c>
      <c r="K564" t="s">
        <v>498</v>
      </c>
      <c r="L564">
        <v>4.3</v>
      </c>
      <c r="M564">
        <v>1.2</v>
      </c>
      <c r="N564">
        <v>0.2790697674418605</v>
      </c>
      <c r="O564">
        <v>0</v>
      </c>
      <c r="P564">
        <v>0</v>
      </c>
      <c r="Q564">
        <v>0.7803532082304311</v>
      </c>
      <c r="R564" t="s">
        <v>765</v>
      </c>
      <c r="S564" t="s">
        <v>771</v>
      </c>
      <c r="T564">
        <v>11505.697235</v>
      </c>
      <c r="U564" s="2">
        <v>44427</v>
      </c>
      <c r="V564" t="s">
        <v>785</v>
      </c>
    </row>
    <row r="565" spans="1:22">
      <c r="A565" s="1" t="s">
        <v>585</v>
      </c>
      <c r="B565">
        <f>HYPERLINK("https://www.suredividend.com/sure-analysis-COR/","CoreSite Realty Corporation")</f>
        <v>0</v>
      </c>
      <c r="C565">
        <v>147.125</v>
      </c>
      <c r="D565">
        <v>105</v>
      </c>
      <c r="E565">
        <v>1.401190476190476</v>
      </c>
      <c r="F565">
        <v>0.0345284621920136</v>
      </c>
      <c r="G565">
        <v>-0.06523904275858061</v>
      </c>
      <c r="H565">
        <v>0.048</v>
      </c>
      <c r="I565">
        <v>0.01613656741145197</v>
      </c>
      <c r="J565" t="s">
        <v>498</v>
      </c>
      <c r="K565" t="s">
        <v>358</v>
      </c>
      <c r="L565">
        <v>5.55</v>
      </c>
      <c r="M565">
        <v>5.08</v>
      </c>
      <c r="N565">
        <v>0.9153153153153154</v>
      </c>
      <c r="O565">
        <v>10</v>
      </c>
      <c r="P565">
        <v>0.01601424134469998</v>
      </c>
      <c r="Q565">
        <v>0.337967422854372</v>
      </c>
      <c r="R565" t="s">
        <v>767</v>
      </c>
      <c r="S565" t="s">
        <v>779</v>
      </c>
      <c r="T565">
        <v>6575.50089</v>
      </c>
      <c r="U565" s="2">
        <v>44415</v>
      </c>
      <c r="V565" t="s">
        <v>790</v>
      </c>
    </row>
    <row r="566" spans="1:22">
      <c r="A566" s="1" t="s">
        <v>586</v>
      </c>
      <c r="B566">
        <f>HYPERLINK("https://www.suredividend.com/sure-analysis-SLB/","Schlumberger Ltd.")</f>
        <v>0</v>
      </c>
      <c r="C566">
        <v>29.32</v>
      </c>
      <c r="D566">
        <v>20</v>
      </c>
      <c r="E566">
        <v>1.466</v>
      </c>
      <c r="F566">
        <v>0.01705320600272851</v>
      </c>
      <c r="G566">
        <v>-0.07365405250075829</v>
      </c>
      <c r="H566">
        <v>0.07000000000000001</v>
      </c>
      <c r="I566">
        <v>0.01201456093281594</v>
      </c>
      <c r="J566" t="s">
        <v>498</v>
      </c>
      <c r="K566" t="s">
        <v>763</v>
      </c>
      <c r="L566">
        <v>1.1</v>
      </c>
      <c r="M566">
        <v>0.5</v>
      </c>
      <c r="N566">
        <v>0.4545454545454545</v>
      </c>
      <c r="O566">
        <v>0</v>
      </c>
      <c r="P566">
        <v>0.06961037572506878</v>
      </c>
      <c r="Q566">
        <v>0.756990241646995</v>
      </c>
      <c r="R566" t="s">
        <v>765</v>
      </c>
      <c r="S566" t="s">
        <v>778</v>
      </c>
      <c r="T566">
        <v>40386.745271</v>
      </c>
      <c r="U566" s="2">
        <v>44400</v>
      </c>
      <c r="V566" t="s">
        <v>787</v>
      </c>
    </row>
    <row r="567" spans="1:22">
      <c r="A567" s="1" t="s">
        <v>587</v>
      </c>
      <c r="B567">
        <f>HYPERLINK("https://www.suredividend.com/sure-analysis-GRMN/","Garmin Ltd")</f>
        <v>0</v>
      </c>
      <c r="C567">
        <v>172.14</v>
      </c>
      <c r="D567">
        <v>112</v>
      </c>
      <c r="E567">
        <v>1.536964285714286</v>
      </c>
      <c r="F567">
        <v>0.01556872313233415</v>
      </c>
      <c r="G567">
        <v>-0.08237075784106918</v>
      </c>
      <c r="H567">
        <v>0.08</v>
      </c>
      <c r="I567">
        <v>0.009095993950985815</v>
      </c>
      <c r="J567" t="s">
        <v>498</v>
      </c>
      <c r="K567" t="s">
        <v>763</v>
      </c>
      <c r="L567">
        <v>5.6</v>
      </c>
      <c r="M567">
        <v>2.68</v>
      </c>
      <c r="N567">
        <v>0.4785714285714286</v>
      </c>
      <c r="O567">
        <v>4</v>
      </c>
      <c r="P567">
        <v>0.04997331683701267</v>
      </c>
      <c r="Q567">
        <v>0.8726314171768511</v>
      </c>
      <c r="R567" t="s">
        <v>765</v>
      </c>
      <c r="S567" t="s">
        <v>777</v>
      </c>
      <c r="T567">
        <v>33042.819282</v>
      </c>
      <c r="U567" s="2">
        <v>44410</v>
      </c>
      <c r="V567" t="s">
        <v>785</v>
      </c>
    </row>
    <row r="568" spans="1:22">
      <c r="A568" s="1" t="s">
        <v>588</v>
      </c>
      <c r="B568">
        <f>HYPERLINK("https://www.suredividend.com/sure-analysis-ARLP/","Alliance Resource Partners, LP")</f>
        <v>0</v>
      </c>
      <c r="C568">
        <v>9.550000000000001</v>
      </c>
      <c r="D568">
        <v>5</v>
      </c>
      <c r="E568">
        <v>1.91</v>
      </c>
      <c r="F568">
        <v>0.0418848167539267</v>
      </c>
      <c r="G568">
        <v>-0.1213956957027967</v>
      </c>
      <c r="H568">
        <v>0.08</v>
      </c>
      <c r="I568">
        <v>0.006963685914896711</v>
      </c>
      <c r="J568" t="s">
        <v>498</v>
      </c>
      <c r="K568" t="s">
        <v>358</v>
      </c>
      <c r="L568">
        <v>1</v>
      </c>
      <c r="M568">
        <v>0.4</v>
      </c>
      <c r="N568">
        <v>0.4</v>
      </c>
      <c r="O568">
        <v>0</v>
      </c>
      <c r="P568">
        <v>0.08083252207959757</v>
      </c>
      <c r="Q568">
        <v>2.360039529876822</v>
      </c>
      <c r="R568" t="s">
        <v>766</v>
      </c>
      <c r="S568" t="s">
        <v>778</v>
      </c>
      <c r="T568">
        <v>1210.898485</v>
      </c>
      <c r="U568" s="2">
        <v>44404</v>
      </c>
      <c r="V568" t="s">
        <v>780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15.558</v>
      </c>
      <c r="D569">
        <v>11</v>
      </c>
      <c r="E569">
        <v>1.414363636363636</v>
      </c>
      <c r="F569">
        <v>0.0488494665124052</v>
      </c>
      <c r="G569">
        <v>-0.0669868095842252</v>
      </c>
      <c r="H569">
        <v>0.02</v>
      </c>
      <c r="I569">
        <v>0.006422539015775497</v>
      </c>
      <c r="J569" t="s">
        <v>498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0.305201342281879</v>
      </c>
      <c r="R569" t="s">
        <v>765</v>
      </c>
      <c r="S569" t="s">
        <v>776</v>
      </c>
      <c r="T569">
        <v>4151.866082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HYPERLINK("https://www.suredividend.com/sure-analysis-EXC/","Exelon Corp.")</f>
        <v>0</v>
      </c>
      <c r="C570">
        <v>49.37</v>
      </c>
      <c r="D570">
        <v>38</v>
      </c>
      <c r="E570">
        <v>1.299210526315789</v>
      </c>
      <c r="F570">
        <v>0.03099048004861252</v>
      </c>
      <c r="G570">
        <v>-0.05100462934040662</v>
      </c>
      <c r="H570">
        <v>0.02</v>
      </c>
      <c r="I570">
        <v>0.002854654381360344</v>
      </c>
      <c r="J570" t="s">
        <v>498</v>
      </c>
      <c r="K570" t="s">
        <v>498</v>
      </c>
      <c r="L570">
        <v>2.8</v>
      </c>
      <c r="M570">
        <v>1.53</v>
      </c>
      <c r="N570">
        <v>0.5464285714285715</v>
      </c>
      <c r="O570">
        <v>5</v>
      </c>
      <c r="P570">
        <v>0.02009132612636422</v>
      </c>
      <c r="Q570">
        <v>0.492066354129101</v>
      </c>
      <c r="R570" t="s">
        <v>765</v>
      </c>
      <c r="S570" t="s">
        <v>776</v>
      </c>
      <c r="T570">
        <v>48549.391569</v>
      </c>
      <c r="U570" s="2">
        <v>44413</v>
      </c>
      <c r="V570" t="s">
        <v>781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118.13</v>
      </c>
      <c r="D571">
        <v>74</v>
      </c>
      <c r="E571">
        <v>1.596351351351351</v>
      </c>
      <c r="F571">
        <v>0.006772200118513503</v>
      </c>
      <c r="G571">
        <v>-0.08930216704712945</v>
      </c>
      <c r="H571">
        <v>0.09</v>
      </c>
      <c r="I571">
        <v>0.001593864427688052</v>
      </c>
      <c r="J571" t="s">
        <v>498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0.663248935136539</v>
      </c>
      <c r="R571" t="s">
        <v>765</v>
      </c>
      <c r="S571" t="s">
        <v>772</v>
      </c>
      <c r="T571">
        <v>6130.958752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196.72</v>
      </c>
      <c r="D572">
        <v>134.6</v>
      </c>
      <c r="E572">
        <v>1.461515601783061</v>
      </c>
      <c r="F572">
        <v>0.01830012200081334</v>
      </c>
      <c r="G572">
        <v>-0.07308628366856618</v>
      </c>
      <c r="H572">
        <v>0.051</v>
      </c>
      <c r="I572">
        <v>-0.003899298999692213</v>
      </c>
      <c r="J572" t="s">
        <v>498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0.230030598187249</v>
      </c>
      <c r="R572" t="s">
        <v>765</v>
      </c>
      <c r="S572" t="s">
        <v>773</v>
      </c>
      <c r="T572">
        <v>69485.465339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HYPERLINK("https://www.suredividend.com/sure-analysis-PSO/","Pearson plc")</f>
        <v>0</v>
      </c>
      <c r="C573">
        <v>9.720000000000001</v>
      </c>
      <c r="D573">
        <v>7</v>
      </c>
      <c r="E573">
        <v>1.388571428571429</v>
      </c>
      <c r="F573">
        <v>0.02777777777777778</v>
      </c>
      <c r="G573">
        <v>-0.06354620275978218</v>
      </c>
      <c r="H573">
        <v>0.03</v>
      </c>
      <c r="I573">
        <v>-0.005304569298442141</v>
      </c>
      <c r="J573" t="s">
        <v>498</v>
      </c>
      <c r="K573" t="s">
        <v>498</v>
      </c>
      <c r="L573">
        <v>0.46</v>
      </c>
      <c r="M573">
        <v>0.27</v>
      </c>
      <c r="N573">
        <v>0.5869565217391305</v>
      </c>
      <c r="O573">
        <v>0</v>
      </c>
      <c r="P573">
        <v>0</v>
      </c>
      <c r="Q573">
        <v>0.558945643701382</v>
      </c>
      <c r="R573" t="s">
        <v>765</v>
      </c>
      <c r="S573" t="s">
        <v>769</v>
      </c>
      <c r="T573">
        <v>7416.106292</v>
      </c>
      <c r="U573" s="2">
        <v>44462</v>
      </c>
      <c r="V573" t="s">
        <v>783</v>
      </c>
    </row>
    <row r="574" spans="1:22">
      <c r="A574" s="1" t="s">
        <v>594</v>
      </c>
      <c r="B574">
        <f>HYPERLINK("https://www.suredividend.com/sure-analysis-COP/","Conoco Phillips")</f>
        <v>0</v>
      </c>
      <c r="C574">
        <v>65.18000000000001</v>
      </c>
      <c r="D574">
        <v>53</v>
      </c>
      <c r="E574">
        <v>1.229811320754717</v>
      </c>
      <c r="F574">
        <v>0.02822951825713409</v>
      </c>
      <c r="G574">
        <v>-0.04052800589664851</v>
      </c>
      <c r="H574">
        <v>0</v>
      </c>
      <c r="I574">
        <v>-0.00652245014618047</v>
      </c>
      <c r="J574" t="s">
        <v>498</v>
      </c>
      <c r="K574" t="s">
        <v>498</v>
      </c>
      <c r="L574">
        <v>4.2</v>
      </c>
      <c r="M574">
        <v>1.84</v>
      </c>
      <c r="N574">
        <v>0.4380952380952381</v>
      </c>
      <c r="O574">
        <v>6</v>
      </c>
      <c r="P574">
        <v>0.03066894385040531</v>
      </c>
      <c r="Q574">
        <v>1.007708137032146</v>
      </c>
      <c r="R574" t="s">
        <v>765</v>
      </c>
      <c r="S574" t="s">
        <v>778</v>
      </c>
      <c r="T574">
        <v>85312.91950800001</v>
      </c>
      <c r="U574" s="2">
        <v>44428</v>
      </c>
      <c r="V574" t="s">
        <v>787</v>
      </c>
    </row>
    <row r="575" spans="1:22">
      <c r="A575" s="1" t="s">
        <v>595</v>
      </c>
      <c r="B575">
        <f>HYPERLINK("https://www.suredividend.com/sure-analysis-CWEN/","Clearway Energy Inc")</f>
        <v>0</v>
      </c>
      <c r="C575">
        <v>32.28</v>
      </c>
      <c r="D575">
        <v>20</v>
      </c>
      <c r="E575">
        <v>1.614</v>
      </c>
      <c r="F575">
        <v>0.04151177199504337</v>
      </c>
      <c r="G575">
        <v>-0.091302582238867</v>
      </c>
      <c r="H575">
        <v>0.03</v>
      </c>
      <c r="I575">
        <v>-0.008319225792979501</v>
      </c>
      <c r="J575" t="s">
        <v>498</v>
      </c>
      <c r="K575" t="s">
        <v>358</v>
      </c>
      <c r="L575">
        <v>2.71</v>
      </c>
      <c r="M575">
        <v>1.34</v>
      </c>
      <c r="N575">
        <v>0.4944649446494465</v>
      </c>
      <c r="O575">
        <v>1</v>
      </c>
      <c r="P575">
        <v>0.04997331683701267</v>
      </c>
      <c r="Q575">
        <v>0.374155909385557</v>
      </c>
      <c r="R575" t="s">
        <v>765</v>
      </c>
      <c r="S575" t="s">
        <v>776</v>
      </c>
      <c r="T575">
        <v>3648.228372</v>
      </c>
      <c r="U575" s="2">
        <v>44414</v>
      </c>
      <c r="V575" t="s">
        <v>782</v>
      </c>
    </row>
    <row r="576" spans="1:22">
      <c r="A576" s="1" t="s">
        <v>596</v>
      </c>
      <c r="B576">
        <f>HYPERLINK("https://www.suredividend.com/sure-analysis-WPM/","Wheaton Precious Metals Corp")</f>
        <v>0</v>
      </c>
      <c r="C576">
        <v>39.65</v>
      </c>
      <c r="D576">
        <v>42</v>
      </c>
      <c r="E576">
        <v>0.944047619047619</v>
      </c>
      <c r="F576">
        <v>0.01513240857503153</v>
      </c>
      <c r="G576">
        <v>0.01158229536119215</v>
      </c>
      <c r="H576">
        <v>-0.04</v>
      </c>
      <c r="I576">
        <v>-0.01149258459731017</v>
      </c>
      <c r="J576" t="s">
        <v>498</v>
      </c>
      <c r="K576" t="s">
        <v>763</v>
      </c>
      <c r="L576">
        <v>1.5</v>
      </c>
      <c r="M576">
        <v>0.6</v>
      </c>
      <c r="N576">
        <v>0.4</v>
      </c>
      <c r="O576">
        <v>2</v>
      </c>
      <c r="P576">
        <v>0.01924487649145656</v>
      </c>
      <c r="Q576">
        <v>-0.153460260675044</v>
      </c>
      <c r="R576" t="s">
        <v>765</v>
      </c>
      <c r="S576" t="s">
        <v>771</v>
      </c>
      <c r="T576">
        <v>17772.49571</v>
      </c>
      <c r="U576" s="2">
        <v>44428</v>
      </c>
      <c r="V576" t="s">
        <v>785</v>
      </c>
    </row>
    <row r="577" spans="1:22">
      <c r="A577" s="1" t="s">
        <v>597</v>
      </c>
      <c r="B577">
        <f>HYPERLINK("https://www.suredividend.com/sure-analysis-OGZPY/","Gazprom")</f>
        <v>0</v>
      </c>
      <c r="C577">
        <v>9.404999999999999</v>
      </c>
      <c r="D577">
        <v>4.25</v>
      </c>
      <c r="E577">
        <v>2.212941176470588</v>
      </c>
      <c r="F577">
        <v>0.03615098351940458</v>
      </c>
      <c r="G577">
        <v>-0.146888048749533</v>
      </c>
      <c r="H577">
        <v>0.08</v>
      </c>
      <c r="I577">
        <v>-0.02234785105718262</v>
      </c>
      <c r="J577" t="s">
        <v>498</v>
      </c>
      <c r="K577" t="s">
        <v>358</v>
      </c>
      <c r="L577">
        <v>0.85</v>
      </c>
      <c r="M577">
        <v>0.34</v>
      </c>
      <c r="N577">
        <v>0.4</v>
      </c>
      <c r="O577">
        <v>0</v>
      </c>
      <c r="P577">
        <v>0.0801851873035635</v>
      </c>
      <c r="Q577">
        <v>1.060240963855421</v>
      </c>
      <c r="R577" t="s">
        <v>765</v>
      </c>
      <c r="S577" t="s">
        <v>778</v>
      </c>
      <c r="T577">
        <v>111324.694412</v>
      </c>
      <c r="U577" s="2">
        <v>44442</v>
      </c>
      <c r="V577" t="s">
        <v>787</v>
      </c>
    </row>
    <row r="578" spans="1:22">
      <c r="A578" s="1" t="s">
        <v>598</v>
      </c>
      <c r="B578">
        <f>HYPERLINK("https://www.suredividend.com/sure-analysis-JCI/","Johnson Controls International plc")</f>
        <v>0</v>
      </c>
      <c r="C578">
        <v>73.55</v>
      </c>
      <c r="D578">
        <v>42</v>
      </c>
      <c r="E578">
        <v>1.751190476190476</v>
      </c>
      <c r="F578">
        <v>0.01468388851121686</v>
      </c>
      <c r="G578">
        <v>-0.1060086377363796</v>
      </c>
      <c r="H578">
        <v>0.07000000000000001</v>
      </c>
      <c r="I578">
        <v>-0.02279816539025215</v>
      </c>
      <c r="J578" t="s">
        <v>498</v>
      </c>
      <c r="K578" t="s">
        <v>763</v>
      </c>
      <c r="L578">
        <v>2.65</v>
      </c>
      <c r="M578">
        <v>1.08</v>
      </c>
      <c r="N578">
        <v>0.4075471698113208</v>
      </c>
      <c r="O578">
        <v>1</v>
      </c>
      <c r="P578">
        <v>0.06932726018096602</v>
      </c>
      <c r="Q578">
        <v>0.8739391425109461</v>
      </c>
      <c r="R578" t="s">
        <v>765</v>
      </c>
      <c r="S578" t="s">
        <v>772</v>
      </c>
      <c r="T578">
        <v>52761.571996</v>
      </c>
      <c r="U578" s="2">
        <v>44413</v>
      </c>
      <c r="V578" t="s">
        <v>784</v>
      </c>
    </row>
    <row r="579" spans="1:22">
      <c r="A579" s="1" t="s">
        <v>599</v>
      </c>
      <c r="B579">
        <f>HYPERLINK("https://www.suredividend.com/sure-analysis-CPT/","Camden Property Trust")</f>
        <v>0</v>
      </c>
      <c r="C579">
        <v>150.71</v>
      </c>
      <c r="D579">
        <v>95</v>
      </c>
      <c r="E579">
        <v>1.586421052631579</v>
      </c>
      <c r="F579">
        <v>0.02202906243779444</v>
      </c>
      <c r="G579">
        <v>-0.08816489736164335</v>
      </c>
      <c r="H579">
        <v>0.04</v>
      </c>
      <c r="I579">
        <v>-0.02281355809007035</v>
      </c>
      <c r="J579" t="s">
        <v>498</v>
      </c>
      <c r="K579" t="s">
        <v>763</v>
      </c>
      <c r="L579">
        <v>5.27</v>
      </c>
      <c r="M579">
        <v>3.32</v>
      </c>
      <c r="N579">
        <v>0.6299810246679317</v>
      </c>
      <c r="O579">
        <v>10</v>
      </c>
      <c r="P579">
        <v>0.04003668004870131</v>
      </c>
      <c r="Q579">
        <v>0.7715321466842681</v>
      </c>
      <c r="R579" t="s">
        <v>767</v>
      </c>
      <c r="S579" t="s">
        <v>779</v>
      </c>
      <c r="T579">
        <v>15196.871923</v>
      </c>
      <c r="U579" s="2">
        <v>44413</v>
      </c>
      <c r="V579" t="s">
        <v>784</v>
      </c>
    </row>
    <row r="580" spans="1:22">
      <c r="A580" s="1" t="s">
        <v>600</v>
      </c>
      <c r="B580">
        <f>HYPERLINK("https://www.suredividend.com/sure-analysis-ETN/","Eaton Corporation plc")</f>
        <v>0</v>
      </c>
      <c r="C580">
        <v>157.565</v>
      </c>
      <c r="D580">
        <v>101</v>
      </c>
      <c r="E580">
        <v>1.560049504950495</v>
      </c>
      <c r="F580">
        <v>0.01929362485323517</v>
      </c>
      <c r="G580">
        <v>-0.0851027461994841</v>
      </c>
      <c r="H580">
        <v>0.04</v>
      </c>
      <c r="I580">
        <v>-0.02406917869307557</v>
      </c>
      <c r="J580" t="s">
        <v>498</v>
      </c>
      <c r="K580" t="s">
        <v>763</v>
      </c>
      <c r="L580">
        <v>6.73</v>
      </c>
      <c r="M580">
        <v>3.04</v>
      </c>
      <c r="N580">
        <v>0.4517087667161961</v>
      </c>
      <c r="O580">
        <v>12</v>
      </c>
      <c r="P580">
        <v>0.02975477857041309</v>
      </c>
      <c r="Q580">
        <v>0.6354160736558271</v>
      </c>
      <c r="R580" t="s">
        <v>765</v>
      </c>
      <c r="S580" t="s">
        <v>772</v>
      </c>
      <c r="T580">
        <v>63007.962534</v>
      </c>
      <c r="U580" s="2">
        <v>44413</v>
      </c>
      <c r="V580" t="s">
        <v>781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21.83</v>
      </c>
      <c r="D581">
        <v>12.7</v>
      </c>
      <c r="E581">
        <v>1.718897637795276</v>
      </c>
      <c r="F581">
        <v>0.03114979386165827</v>
      </c>
      <c r="G581">
        <v>-0.1026745259566082</v>
      </c>
      <c r="H581">
        <v>0.034</v>
      </c>
      <c r="I581">
        <v>-0.02691410751418299</v>
      </c>
      <c r="J581" t="s">
        <v>498</v>
      </c>
      <c r="K581" t="s">
        <v>498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1.09794907722871</v>
      </c>
      <c r="R581" t="s">
        <v>767</v>
      </c>
      <c r="S581" t="s">
        <v>779</v>
      </c>
      <c r="T581">
        <v>13397.781871</v>
      </c>
      <c r="U581" s="2">
        <v>44415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190.42</v>
      </c>
      <c r="D582">
        <v>106</v>
      </c>
      <c r="E582">
        <v>1.796415094339622</v>
      </c>
      <c r="F582">
        <v>0.02153135174876589</v>
      </c>
      <c r="G582">
        <v>-0.1105558953780175</v>
      </c>
      <c r="H582">
        <v>0.06</v>
      </c>
      <c r="I582">
        <v>-0.02760664890864672</v>
      </c>
      <c r="J582" t="s">
        <v>498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0.7352716977022761</v>
      </c>
      <c r="R582" t="s">
        <v>767</v>
      </c>
      <c r="S582" t="s">
        <v>779</v>
      </c>
      <c r="T582">
        <v>21974.987485</v>
      </c>
      <c r="U582" s="2">
        <v>44427</v>
      </c>
      <c r="V582" t="s">
        <v>787</v>
      </c>
    </row>
    <row r="583" spans="1:22">
      <c r="A583" s="1" t="s">
        <v>603</v>
      </c>
      <c r="B583">
        <f>HYPERLINK("https://www.suredividend.com/sure-analysis-SCHL/","Scholastic Corp.")</f>
        <v>0</v>
      </c>
      <c r="C583">
        <v>33.445</v>
      </c>
      <c r="D583">
        <v>20</v>
      </c>
      <c r="E583">
        <v>1.67225</v>
      </c>
      <c r="F583">
        <v>0.01793990133054268</v>
      </c>
      <c r="G583">
        <v>-0.09772326552503197</v>
      </c>
      <c r="H583">
        <v>0.05</v>
      </c>
      <c r="I583">
        <v>-0.03131893026809296</v>
      </c>
      <c r="J583" t="s">
        <v>498</v>
      </c>
      <c r="K583" t="s">
        <v>763</v>
      </c>
      <c r="L583">
        <v>1.2</v>
      </c>
      <c r="M583">
        <v>0.6</v>
      </c>
      <c r="N583">
        <v>0.5</v>
      </c>
      <c r="O583">
        <v>0</v>
      </c>
      <c r="P583">
        <v>0</v>
      </c>
      <c r="Q583">
        <v>0.7240766053018021</v>
      </c>
      <c r="R583" t="s">
        <v>765</v>
      </c>
      <c r="S583" t="s">
        <v>769</v>
      </c>
      <c r="T583">
        <v>1110.870779</v>
      </c>
      <c r="U583" s="2">
        <v>44401</v>
      </c>
      <c r="V583" t="s">
        <v>783</v>
      </c>
    </row>
    <row r="584" spans="1:22">
      <c r="A584" s="1" t="s">
        <v>604</v>
      </c>
      <c r="B584">
        <f>HYPERLINK("https://www.suredividend.com/sure-analysis-LAMR/","Lamar Advertising Co")</f>
        <v>0</v>
      </c>
      <c r="C584">
        <v>117.86</v>
      </c>
      <c r="D584">
        <v>75</v>
      </c>
      <c r="E584">
        <v>1.571466666666667</v>
      </c>
      <c r="F584">
        <v>0.0254539283896148</v>
      </c>
      <c r="G584">
        <v>-0.08643602536465211</v>
      </c>
      <c r="H584">
        <v>0.008</v>
      </c>
      <c r="I584">
        <v>-0.04033258212180524</v>
      </c>
      <c r="J584" t="s">
        <v>498</v>
      </c>
      <c r="K584" t="s">
        <v>498</v>
      </c>
      <c r="L584">
        <v>6.25</v>
      </c>
      <c r="M584">
        <v>3</v>
      </c>
      <c r="N584">
        <v>0.48</v>
      </c>
      <c r="O584">
        <v>0</v>
      </c>
      <c r="P584">
        <v>0.05922384104881218</v>
      </c>
      <c r="Q584">
        <v>0.893872633059773</v>
      </c>
      <c r="R584" t="s">
        <v>767</v>
      </c>
      <c r="S584" t="s">
        <v>779</v>
      </c>
      <c r="T584">
        <v>10255.331401</v>
      </c>
      <c r="U584" s="2">
        <v>44431</v>
      </c>
      <c r="V584" t="s">
        <v>790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28.615</v>
      </c>
      <c r="D585">
        <v>15</v>
      </c>
      <c r="E585">
        <v>1.907666666666667</v>
      </c>
      <c r="F585">
        <v>0.05801153241307007</v>
      </c>
      <c r="G585">
        <v>-0.1211808704953022</v>
      </c>
      <c r="H585">
        <v>0.02</v>
      </c>
      <c r="I585">
        <v>-0.04341485260477018</v>
      </c>
      <c r="J585" t="s">
        <v>498</v>
      </c>
      <c r="K585" t="s">
        <v>762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0.166915990223246</v>
      </c>
      <c r="R585" t="s">
        <v>765</v>
      </c>
      <c r="S585" t="s">
        <v>776</v>
      </c>
      <c r="T585">
        <v>21972.246304</v>
      </c>
      <c r="U585" s="2">
        <v>44419</v>
      </c>
      <c r="V585" t="s">
        <v>781</v>
      </c>
    </row>
    <row r="586" spans="1:22">
      <c r="A586" s="1" t="s">
        <v>606</v>
      </c>
      <c r="B586">
        <f>HYPERLINK("https://www.suredividend.com/sure-analysis-ACN/","Accenture plc")</f>
        <v>0</v>
      </c>
      <c r="C586">
        <v>341.53</v>
      </c>
      <c r="D586">
        <v>175</v>
      </c>
      <c r="E586">
        <v>1.9516</v>
      </c>
      <c r="F586">
        <v>0.01030656164904986</v>
      </c>
      <c r="G586">
        <v>-0.1251736852811377</v>
      </c>
      <c r="H586">
        <v>0.075</v>
      </c>
      <c r="I586">
        <v>-0.04343193441170712</v>
      </c>
      <c r="J586" t="s">
        <v>498</v>
      </c>
      <c r="K586" t="s">
        <v>763</v>
      </c>
      <c r="L586">
        <v>8.76</v>
      </c>
      <c r="M586">
        <v>3.52</v>
      </c>
      <c r="N586">
        <v>0.4018264840182649</v>
      </c>
      <c r="O586">
        <v>10</v>
      </c>
      <c r="P586">
        <v>0.0799150058822331</v>
      </c>
      <c r="Q586">
        <v>0.5069047429716951</v>
      </c>
      <c r="R586" t="s">
        <v>765</v>
      </c>
      <c r="S586" t="s">
        <v>777</v>
      </c>
      <c r="T586">
        <v>228586.060066</v>
      </c>
      <c r="U586" s="2">
        <v>44372</v>
      </c>
      <c r="V586" t="s">
        <v>783</v>
      </c>
    </row>
    <row r="587" spans="1:22">
      <c r="A587" s="1" t="s">
        <v>607</v>
      </c>
      <c r="B587">
        <f>HYPERLINK("https://www.suredividend.com/sure-analysis-VGR/","Vector Group Ltd")</f>
        <v>0</v>
      </c>
      <c r="C587">
        <v>12.4</v>
      </c>
      <c r="D587">
        <v>20</v>
      </c>
      <c r="E587">
        <v>0.62</v>
      </c>
      <c r="F587">
        <v>0.06451612903225806</v>
      </c>
      <c r="G587">
        <v>0.1003267269360468</v>
      </c>
      <c r="H587">
        <v>0.03</v>
      </c>
      <c r="I587">
        <v>0.1699924758104119</v>
      </c>
      <c r="J587" t="s">
        <v>763</v>
      </c>
      <c r="K587" t="s">
        <v>358</v>
      </c>
      <c r="L587">
        <v>1</v>
      </c>
      <c r="M587">
        <v>0.8</v>
      </c>
      <c r="N587">
        <v>0.8</v>
      </c>
      <c r="O587">
        <v>0</v>
      </c>
      <c r="P587">
        <v>0</v>
      </c>
      <c r="Q587">
        <v>0.449527051277598</v>
      </c>
      <c r="R587" t="s">
        <v>765</v>
      </c>
      <c r="S587" t="s">
        <v>774</v>
      </c>
      <c r="T587">
        <v>1930.516755</v>
      </c>
      <c r="U587" s="2">
        <v>44454</v>
      </c>
      <c r="V587" t="s">
        <v>788</v>
      </c>
    </row>
    <row r="588" spans="1:22">
      <c r="A588" s="1" t="s">
        <v>608</v>
      </c>
      <c r="B588">
        <f>HYPERLINK("https://www.suredividend.com/sure-analysis-IIPR/","Innovative Industrial Properties Inc")</f>
        <v>0</v>
      </c>
      <c r="C588">
        <v>244.66</v>
      </c>
      <c r="D588">
        <v>156</v>
      </c>
      <c r="E588">
        <v>1.568333333333333</v>
      </c>
      <c r="F588">
        <v>0.02452382898716586</v>
      </c>
      <c r="G588">
        <v>-0.08607127948255944</v>
      </c>
      <c r="H588">
        <v>0.25</v>
      </c>
      <c r="I588">
        <v>0.1663884769239572</v>
      </c>
      <c r="J588" t="s">
        <v>763</v>
      </c>
      <c r="K588" t="s">
        <v>763</v>
      </c>
      <c r="L588">
        <v>6.5</v>
      </c>
      <c r="M588">
        <v>6</v>
      </c>
      <c r="N588">
        <v>0.9230769230769231</v>
      </c>
      <c r="O588">
        <v>4</v>
      </c>
      <c r="P588">
        <v>0.1900312157009796</v>
      </c>
      <c r="Q588">
        <v>1.145006639306264</v>
      </c>
      <c r="R588" t="s">
        <v>767</v>
      </c>
      <c r="S588" t="s">
        <v>779</v>
      </c>
      <c r="T588">
        <v>5879.184293</v>
      </c>
      <c r="U588" s="2">
        <v>44413</v>
      </c>
      <c r="V588" t="s">
        <v>780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57.92</v>
      </c>
      <c r="D589">
        <v>80</v>
      </c>
      <c r="E589">
        <v>0.724</v>
      </c>
      <c r="F589">
        <v>0.04834254143646408</v>
      </c>
      <c r="G589">
        <v>0.06672454149717999</v>
      </c>
      <c r="H589">
        <v>0.06</v>
      </c>
      <c r="I589">
        <v>0.1631137272448944</v>
      </c>
      <c r="J589" t="s">
        <v>763</v>
      </c>
      <c r="K589" t="s">
        <v>358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0.353630686717646</v>
      </c>
      <c r="R589" t="s">
        <v>765</v>
      </c>
      <c r="S589" t="s">
        <v>771</v>
      </c>
      <c r="T589">
        <v>44173.863711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8.16</v>
      </c>
      <c r="D590">
        <v>11.71</v>
      </c>
      <c r="E590">
        <v>0.6968403074295474</v>
      </c>
      <c r="F590">
        <v>0.04656862745098039</v>
      </c>
      <c r="G590">
        <v>0.07491307917237822</v>
      </c>
      <c r="H590">
        <v>0.055</v>
      </c>
      <c r="I590">
        <v>0.1608881760810053</v>
      </c>
      <c r="J590" t="s">
        <v>763</v>
      </c>
      <c r="K590" t="s">
        <v>498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0.5278034361721781</v>
      </c>
      <c r="R590" t="s">
        <v>767</v>
      </c>
      <c r="S590" t="s">
        <v>779</v>
      </c>
      <c r="T590">
        <v>132.842896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49.455</v>
      </c>
      <c r="D591">
        <v>77</v>
      </c>
      <c r="E591">
        <v>0.6422727272727272</v>
      </c>
      <c r="F591">
        <v>0.09099181073703368</v>
      </c>
      <c r="G591">
        <v>0.0925871886330849</v>
      </c>
      <c r="H591">
        <v>0</v>
      </c>
      <c r="I591">
        <v>0.1521207579587784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0.3938717184727381</v>
      </c>
      <c r="R591" t="s">
        <v>765</v>
      </c>
      <c r="S591" t="s">
        <v>778</v>
      </c>
      <c r="T591">
        <v>12866.427086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10.97</v>
      </c>
      <c r="D592">
        <v>15</v>
      </c>
      <c r="E592">
        <v>0.7313333333333334</v>
      </c>
      <c r="F592">
        <v>0.09845031905195989</v>
      </c>
      <c r="G592">
        <v>0.0645766254800848</v>
      </c>
      <c r="H592">
        <v>0.02</v>
      </c>
      <c r="I592">
        <v>0.1507841254542766</v>
      </c>
      <c r="J592" t="s">
        <v>763</v>
      </c>
      <c r="K592" t="s">
        <v>762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0.127052332557352</v>
      </c>
      <c r="R592" t="s">
        <v>765</v>
      </c>
      <c r="S592" t="s">
        <v>769</v>
      </c>
      <c r="T592">
        <v>29225.307887</v>
      </c>
      <c r="U592" s="2">
        <v>44411</v>
      </c>
      <c r="V592" t="s">
        <v>791</v>
      </c>
    </row>
    <row r="593" spans="1:22">
      <c r="A593" s="1" t="s">
        <v>613</v>
      </c>
      <c r="B593">
        <f>HYPERLINK("https://www.suredividend.com/sure-analysis-PSXP/","Phillips 66 Partners LP")</f>
        <v>0</v>
      </c>
      <c r="C593">
        <v>35.99</v>
      </c>
      <c r="D593">
        <v>44</v>
      </c>
      <c r="E593">
        <v>0.8179545454545455</v>
      </c>
      <c r="F593">
        <v>0.09724923589886079</v>
      </c>
      <c r="G593">
        <v>0.04100823718725977</v>
      </c>
      <c r="H593">
        <v>0.04</v>
      </c>
      <c r="I593">
        <v>0.1456588890704724</v>
      </c>
      <c r="J593" t="s">
        <v>763</v>
      </c>
      <c r="K593" t="s">
        <v>762</v>
      </c>
      <c r="L593">
        <v>4.4</v>
      </c>
      <c r="M593">
        <v>3.5</v>
      </c>
      <c r="N593">
        <v>0.7954545454545454</v>
      </c>
      <c r="O593">
        <v>7</v>
      </c>
      <c r="P593">
        <v>0</v>
      </c>
      <c r="Q593">
        <v>0.8081378863369381</v>
      </c>
      <c r="R593" t="s">
        <v>766</v>
      </c>
      <c r="S593" t="s">
        <v>778</v>
      </c>
      <c r="T593">
        <v>8154.026614</v>
      </c>
      <c r="U593" s="2">
        <v>44428</v>
      </c>
      <c r="V593" t="s">
        <v>787</v>
      </c>
    </row>
    <row r="594" spans="1:22">
      <c r="A594" s="1" t="s">
        <v>614</v>
      </c>
      <c r="B594">
        <f>HYPERLINK("https://www.suredividend.com/sure-analysis-IEP/","Icahn Enterprises L P")</f>
        <v>0</v>
      </c>
      <c r="C594">
        <v>49.96</v>
      </c>
      <c r="D594">
        <v>58</v>
      </c>
      <c r="E594">
        <v>0.8613793103448276</v>
      </c>
      <c r="F594">
        <v>0.1601281024819856</v>
      </c>
      <c r="G594">
        <v>0.03029386261279754</v>
      </c>
      <c r="H594">
        <v>0</v>
      </c>
      <c r="I594">
        <v>0.1442494943915367</v>
      </c>
      <c r="J594" t="s">
        <v>763</v>
      </c>
      <c r="K594" t="s">
        <v>358</v>
      </c>
      <c r="L594">
        <v>8</v>
      </c>
      <c r="M594">
        <v>8</v>
      </c>
      <c r="N594">
        <v>1</v>
      </c>
      <c r="O594">
        <v>0</v>
      </c>
      <c r="P594">
        <v>0</v>
      </c>
      <c r="Q594">
        <v>0.221413342787347</v>
      </c>
      <c r="R594" t="s">
        <v>766</v>
      </c>
      <c r="S594" t="s">
        <v>772</v>
      </c>
      <c r="T594">
        <v>13305.921976</v>
      </c>
      <c r="U594" s="2">
        <v>44416</v>
      </c>
      <c r="V594" t="s">
        <v>780</v>
      </c>
    </row>
    <row r="595" spans="1:22">
      <c r="A595" s="1" t="s">
        <v>615</v>
      </c>
      <c r="B595">
        <f>HYPERLINK("https://www.suredividend.com/sure-analysis-TEF/","Telefonica S.A")</f>
        <v>0</v>
      </c>
      <c r="C595">
        <v>4.795</v>
      </c>
      <c r="D595">
        <v>6.3</v>
      </c>
      <c r="E595">
        <v>0.7611111111111111</v>
      </c>
      <c r="F595">
        <v>0.100104275286757</v>
      </c>
      <c r="G595">
        <v>0.05611299775839163</v>
      </c>
      <c r="H595">
        <v>0.02</v>
      </c>
      <c r="I595">
        <v>0.1430299742499717</v>
      </c>
      <c r="J595" t="s">
        <v>763</v>
      </c>
      <c r="K595" t="s">
        <v>762</v>
      </c>
      <c r="L595">
        <v>0.7</v>
      </c>
      <c r="M595">
        <v>0.48</v>
      </c>
      <c r="N595">
        <v>0.6857142857142857</v>
      </c>
      <c r="O595">
        <v>0</v>
      </c>
      <c r="P595">
        <v>0</v>
      </c>
      <c r="Q595">
        <v>0.475369609226427</v>
      </c>
      <c r="R595" t="s">
        <v>765</v>
      </c>
      <c r="S595" t="s">
        <v>769</v>
      </c>
      <c r="T595">
        <v>27119.037369</v>
      </c>
      <c r="U595" s="2">
        <v>44434</v>
      </c>
      <c r="V595" t="s">
        <v>783</v>
      </c>
    </row>
    <row r="596" spans="1:22">
      <c r="A596" s="1" t="s">
        <v>616</v>
      </c>
      <c r="B596">
        <f>HYPERLINK("https://www.suredividend.com/sure-analysis-APAM/","Artisan Partners Asset Management Inc")</f>
        <v>0</v>
      </c>
      <c r="C596">
        <v>51.32</v>
      </c>
      <c r="D596">
        <v>61</v>
      </c>
      <c r="E596">
        <v>0.8413114754098361</v>
      </c>
      <c r="F596">
        <v>0.0779423226812159</v>
      </c>
      <c r="G596">
        <v>0.03516275429897586</v>
      </c>
      <c r="H596">
        <v>0.05</v>
      </c>
      <c r="I596">
        <v>0.1421216342003568</v>
      </c>
      <c r="J596" t="s">
        <v>763</v>
      </c>
      <c r="K596" t="s">
        <v>358</v>
      </c>
      <c r="L596">
        <v>5.1</v>
      </c>
      <c r="M596">
        <v>4</v>
      </c>
      <c r="N596">
        <v>0.7843137254901962</v>
      </c>
      <c r="O596">
        <v>2</v>
      </c>
      <c r="P596">
        <v>0.03012896281839894</v>
      </c>
      <c r="Q596">
        <v>0.4563162188838991</v>
      </c>
      <c r="R596" t="s">
        <v>765</v>
      </c>
      <c r="S596" t="s">
        <v>773</v>
      </c>
      <c r="T596">
        <v>3310.054535</v>
      </c>
      <c r="U596" s="2">
        <v>44424</v>
      </c>
      <c r="V596" t="s">
        <v>785</v>
      </c>
    </row>
    <row r="597" spans="1:22">
      <c r="A597" s="1" t="s">
        <v>617</v>
      </c>
      <c r="B597">
        <f>HYPERLINK("https://www.suredividend.com/sure-analysis-PSX/","Phillips 66")</f>
        <v>0</v>
      </c>
      <c r="C597">
        <v>68.36</v>
      </c>
      <c r="D597">
        <v>84</v>
      </c>
      <c r="E597">
        <v>0.8138095238095238</v>
      </c>
      <c r="F597">
        <v>0.0526623756582797</v>
      </c>
      <c r="G597">
        <v>0.04206652839282898</v>
      </c>
      <c r="H597">
        <v>0.06</v>
      </c>
      <c r="I597">
        <v>0.139952798087829</v>
      </c>
      <c r="J597" t="s">
        <v>763</v>
      </c>
      <c r="K597" t="s">
        <v>358</v>
      </c>
      <c r="L597">
        <v>2.5</v>
      </c>
      <c r="M597">
        <v>3.6</v>
      </c>
      <c r="N597">
        <v>1.44</v>
      </c>
      <c r="O597">
        <v>8</v>
      </c>
      <c r="P597">
        <v>0.02129568760013512</v>
      </c>
      <c r="Q597">
        <v>0.370437617224249</v>
      </c>
      <c r="R597" t="s">
        <v>765</v>
      </c>
      <c r="S597" t="s">
        <v>778</v>
      </c>
      <c r="T597">
        <v>30050.453283</v>
      </c>
      <c r="U597" s="2">
        <v>44427</v>
      </c>
      <c r="V597" t="s">
        <v>787</v>
      </c>
    </row>
    <row r="598" spans="1:22">
      <c r="A598" s="1" t="s">
        <v>618</v>
      </c>
      <c r="B598">
        <f>HYPERLINK("https://www.suredividend.com/sure-analysis-GECC/","Great Elm Capital Corp")</f>
        <v>0</v>
      </c>
      <c r="C598">
        <v>3.37</v>
      </c>
      <c r="D598">
        <v>3.5</v>
      </c>
      <c r="E598">
        <v>0.9628571428571429</v>
      </c>
      <c r="F598">
        <v>0.1186943620178042</v>
      </c>
      <c r="G598">
        <v>0.007598770053559356</v>
      </c>
      <c r="H598">
        <v>0.042</v>
      </c>
      <c r="I598">
        <v>0.1332707808244915</v>
      </c>
      <c r="J598" t="s">
        <v>763</v>
      </c>
      <c r="K598" t="s">
        <v>358</v>
      </c>
      <c r="L598">
        <v>0.33</v>
      </c>
      <c r="M598">
        <v>0.4</v>
      </c>
      <c r="N598">
        <v>1.212121212121212</v>
      </c>
      <c r="O598">
        <v>0</v>
      </c>
      <c r="P598">
        <v>0</v>
      </c>
      <c r="Q598">
        <v>0.09277213917442201</v>
      </c>
      <c r="R598" t="s">
        <v>768</v>
      </c>
      <c r="S598" t="s">
        <v>773</v>
      </c>
      <c r="T598">
        <v>79.222742</v>
      </c>
      <c r="U598" s="2">
        <v>44421</v>
      </c>
      <c r="V598" t="s">
        <v>790</v>
      </c>
    </row>
    <row r="599" spans="1:22">
      <c r="A599" s="1" t="s">
        <v>619</v>
      </c>
      <c r="B599">
        <f>HYPERLINK("https://www.suredividend.com/sure-analysis-OHI/","Omega Healthcare Investors, Inc.")</f>
        <v>0</v>
      </c>
      <c r="C599">
        <v>31.37</v>
      </c>
      <c r="D599">
        <v>40</v>
      </c>
      <c r="E599">
        <v>0.78425</v>
      </c>
      <c r="F599">
        <v>0.0854319413452343</v>
      </c>
      <c r="G599">
        <v>0.04980610622796733</v>
      </c>
      <c r="H599">
        <v>0.02</v>
      </c>
      <c r="I599">
        <v>0.1307154043246983</v>
      </c>
      <c r="J599" t="s">
        <v>763</v>
      </c>
      <c r="K599" t="s">
        <v>762</v>
      </c>
      <c r="L599">
        <v>3.3</v>
      </c>
      <c r="M599">
        <v>2.68</v>
      </c>
      <c r="N599">
        <v>0.8121212121212122</v>
      </c>
      <c r="O599">
        <v>18</v>
      </c>
      <c r="P599">
        <v>0.01023605168466424</v>
      </c>
      <c r="Q599">
        <v>0.150832517140058</v>
      </c>
      <c r="R599" t="s">
        <v>767</v>
      </c>
      <c r="S599" t="s">
        <v>779</v>
      </c>
      <c r="T599">
        <v>7522.185748</v>
      </c>
      <c r="U599" s="2">
        <v>44424</v>
      </c>
      <c r="V599" t="s">
        <v>785</v>
      </c>
    </row>
    <row r="600" spans="1:22">
      <c r="A600" s="1" t="s">
        <v>620</v>
      </c>
      <c r="B600">
        <f>HYPERLINK("https://www.suredividend.com/sure-analysis-DHT/","DHT Holdings Inc")</f>
        <v>0</v>
      </c>
      <c r="C600">
        <v>6.06</v>
      </c>
      <c r="D600">
        <v>6</v>
      </c>
      <c r="E600">
        <v>1.01</v>
      </c>
      <c r="F600">
        <v>0.02145214521452146</v>
      </c>
      <c r="G600">
        <v>-0.001988087301862729</v>
      </c>
      <c r="H600">
        <v>0.1</v>
      </c>
      <c r="I600">
        <v>0.1207895570520843</v>
      </c>
      <c r="J600" t="s">
        <v>763</v>
      </c>
      <c r="K600" t="s">
        <v>763</v>
      </c>
      <c r="L600">
        <v>0.1</v>
      </c>
      <c r="M600">
        <v>0.13</v>
      </c>
      <c r="N600">
        <v>1.3</v>
      </c>
      <c r="O600">
        <v>0</v>
      </c>
      <c r="P600">
        <v>0.1658506946484593</v>
      </c>
      <c r="Q600">
        <v>0.240208877284595</v>
      </c>
      <c r="R600" t="s">
        <v>765</v>
      </c>
      <c r="S600" t="s">
        <v>778</v>
      </c>
      <c r="T600">
        <v>1006.002152</v>
      </c>
      <c r="U600" s="2">
        <v>44431</v>
      </c>
      <c r="V600" t="s">
        <v>787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18.3</v>
      </c>
      <c r="D601">
        <v>18.65</v>
      </c>
      <c r="E601">
        <v>0.9812332439678285</v>
      </c>
      <c r="F601">
        <v>0.0546448087431694</v>
      </c>
      <c r="G601">
        <v>0.003796204649205936</v>
      </c>
      <c r="H601">
        <v>0.07000000000000001</v>
      </c>
      <c r="I601">
        <v>0.1203679195709639</v>
      </c>
      <c r="J601" t="s">
        <v>763</v>
      </c>
      <c r="K601" t="s">
        <v>358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0.186214231976548</v>
      </c>
      <c r="R601" t="s">
        <v>767</v>
      </c>
      <c r="S601" t="s">
        <v>779</v>
      </c>
      <c r="T601">
        <v>206.668733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HYPERLINK("https://www.suredividend.com/sure-analysis-LTC/","LTC Properties, Inc.")</f>
        <v>0</v>
      </c>
      <c r="C602">
        <v>32.58</v>
      </c>
      <c r="D602">
        <v>36</v>
      </c>
      <c r="E602">
        <v>0.9049999999999999</v>
      </c>
      <c r="F602">
        <v>0.06998158379373849</v>
      </c>
      <c r="G602">
        <v>0.02016468184820908</v>
      </c>
      <c r="H602">
        <v>0.05</v>
      </c>
      <c r="I602">
        <v>0.1197230448518596</v>
      </c>
      <c r="J602" t="s">
        <v>763</v>
      </c>
      <c r="K602" t="s">
        <v>358</v>
      </c>
      <c r="L602">
        <v>2.4</v>
      </c>
      <c r="M602">
        <v>2.28</v>
      </c>
      <c r="N602">
        <v>0.95</v>
      </c>
      <c r="O602">
        <v>0</v>
      </c>
      <c r="P602">
        <v>0</v>
      </c>
      <c r="Q602">
        <v>0.039124466137888</v>
      </c>
      <c r="R602" t="s">
        <v>767</v>
      </c>
      <c r="S602" t="s">
        <v>779</v>
      </c>
      <c r="T602">
        <v>1287.531239</v>
      </c>
      <c r="U602" s="2">
        <v>44428</v>
      </c>
      <c r="V602" t="s">
        <v>787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27.65</v>
      </c>
      <c r="D603">
        <v>27</v>
      </c>
      <c r="E603">
        <v>1.024074074074074</v>
      </c>
      <c r="F603">
        <v>0.1139240506329114</v>
      </c>
      <c r="G603">
        <v>-0.004746472122207135</v>
      </c>
      <c r="H603">
        <v>0.03</v>
      </c>
      <c r="I603">
        <v>0.1187765402276388</v>
      </c>
      <c r="J603" t="s">
        <v>763</v>
      </c>
      <c r="K603" t="s">
        <v>358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0.6958996399117201</v>
      </c>
      <c r="R603" t="s">
        <v>768</v>
      </c>
      <c r="S603" t="s">
        <v>773</v>
      </c>
      <c r="T603">
        <v>625.463434</v>
      </c>
      <c r="U603" s="2">
        <v>44426</v>
      </c>
      <c r="V603" t="s">
        <v>780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10.23</v>
      </c>
      <c r="D604">
        <v>12.33</v>
      </c>
      <c r="E604">
        <v>0.829683698296837</v>
      </c>
      <c r="F604">
        <v>0.09775171065493646</v>
      </c>
      <c r="G604">
        <v>0.03804812559701043</v>
      </c>
      <c r="H604">
        <v>0</v>
      </c>
      <c r="I604">
        <v>0.114952983025929</v>
      </c>
      <c r="J604" t="s">
        <v>763</v>
      </c>
      <c r="K604" t="s">
        <v>762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0.663874566953466</v>
      </c>
      <c r="R604" t="s">
        <v>768</v>
      </c>
      <c r="S604" t="s">
        <v>773</v>
      </c>
      <c r="T604">
        <v>220.390414</v>
      </c>
      <c r="U604" s="2">
        <v>44413</v>
      </c>
      <c r="V604" t="s">
        <v>780</v>
      </c>
    </row>
    <row r="605" spans="1:22">
      <c r="A605" s="1" t="s">
        <v>625</v>
      </c>
      <c r="B605">
        <f>HYPERLINK("https://www.suredividend.com/sure-analysis-CQP/","Cheniere Energy Partners LP")</f>
        <v>0</v>
      </c>
      <c r="C605">
        <v>40.27</v>
      </c>
      <c r="D605">
        <v>45</v>
      </c>
      <c r="E605">
        <v>0.894888888888889</v>
      </c>
      <c r="F605">
        <v>0.06555748696299975</v>
      </c>
      <c r="G605">
        <v>0.02245964685891222</v>
      </c>
      <c r="H605">
        <v>0.04</v>
      </c>
      <c r="I605">
        <v>0.1128069140511336</v>
      </c>
      <c r="J605" t="s">
        <v>763</v>
      </c>
      <c r="K605" t="s">
        <v>358</v>
      </c>
      <c r="L605">
        <v>2.9</v>
      </c>
      <c r="M605">
        <v>2.64</v>
      </c>
      <c r="N605">
        <v>0.9103448275862069</v>
      </c>
      <c r="O605">
        <v>4</v>
      </c>
      <c r="P605">
        <v>0.01896393794917839</v>
      </c>
      <c r="Q605">
        <v>0.347909433355228</v>
      </c>
      <c r="R605" t="s">
        <v>766</v>
      </c>
      <c r="S605" t="s">
        <v>778</v>
      </c>
      <c r="T605">
        <v>19467.450227</v>
      </c>
      <c r="U605" s="2">
        <v>44442</v>
      </c>
      <c r="V605" t="s">
        <v>787</v>
      </c>
    </row>
    <row r="606" spans="1:22">
      <c r="A606" s="1" t="s">
        <v>626</v>
      </c>
      <c r="B606">
        <f>HYPERLINK("https://www.suredividend.com/sure-analysis-PMT/","Pennymac Mortgage Investment Trust")</f>
        <v>0</v>
      </c>
      <c r="C606">
        <v>19.73</v>
      </c>
      <c r="D606">
        <v>23</v>
      </c>
      <c r="E606">
        <v>0.8578260869565217</v>
      </c>
      <c r="F606">
        <v>0.09528636594019259</v>
      </c>
      <c r="G606">
        <v>0.03114597327534629</v>
      </c>
      <c r="H606">
        <v>0.01</v>
      </c>
      <c r="I606">
        <v>0.1121752112633616</v>
      </c>
      <c r="J606" t="s">
        <v>763</v>
      </c>
      <c r="K606" t="s">
        <v>762</v>
      </c>
      <c r="L606">
        <v>2.53</v>
      </c>
      <c r="M606">
        <v>1.88</v>
      </c>
      <c r="N606">
        <v>0.7430830039525692</v>
      </c>
      <c r="O606">
        <v>0</v>
      </c>
      <c r="P606">
        <v>0</v>
      </c>
      <c r="Q606">
        <v>0.355366909832071</v>
      </c>
      <c r="R606" t="s">
        <v>767</v>
      </c>
      <c r="S606" t="s">
        <v>773</v>
      </c>
      <c r="T606">
        <v>1932.978893</v>
      </c>
      <c r="U606" s="2">
        <v>44417</v>
      </c>
      <c r="V606" t="s">
        <v>782</v>
      </c>
    </row>
    <row r="607" spans="1:22">
      <c r="A607" s="1" t="s">
        <v>627</v>
      </c>
      <c r="B607">
        <f>HYPERLINK("https://www.suredividend.com/sure-analysis-CTO/","CTO Realty Growth Inc")</f>
        <v>0</v>
      </c>
      <c r="C607">
        <v>54.21</v>
      </c>
      <c r="D607">
        <v>55</v>
      </c>
      <c r="E607">
        <v>0.9856363636363636</v>
      </c>
      <c r="F607">
        <v>0.07378712414683637</v>
      </c>
      <c r="G607">
        <v>0.002897748772858089</v>
      </c>
      <c r="H607">
        <v>0.05</v>
      </c>
      <c r="I607">
        <v>0.1102227981546848</v>
      </c>
      <c r="J607" t="s">
        <v>763</v>
      </c>
      <c r="K607" t="s">
        <v>358</v>
      </c>
      <c r="L607">
        <v>4.1</v>
      </c>
      <c r="M607">
        <v>4</v>
      </c>
      <c r="N607">
        <v>0.9756097560975611</v>
      </c>
      <c r="O607">
        <v>8</v>
      </c>
      <c r="P607">
        <v>0.02016978262061087</v>
      </c>
      <c r="Q607">
        <v>0.235047171940595</v>
      </c>
      <c r="R607" t="s">
        <v>767</v>
      </c>
      <c r="S607" t="s">
        <v>779</v>
      </c>
      <c r="T607">
        <v>325.941869</v>
      </c>
      <c r="U607" s="2">
        <v>44430</v>
      </c>
      <c r="V607" t="s">
        <v>782</v>
      </c>
    </row>
    <row r="608" spans="1:22">
      <c r="A608" s="1" t="s">
        <v>628</v>
      </c>
      <c r="B608">
        <f>HYPERLINK("https://www.suredividend.com/sure-analysis-EVA/","Enviva Partners LP")</f>
        <v>0</v>
      </c>
      <c r="C608">
        <v>54.425</v>
      </c>
      <c r="D608">
        <v>54</v>
      </c>
      <c r="E608">
        <v>1.00787037037037</v>
      </c>
      <c r="F608">
        <v>0.05989894350022967</v>
      </c>
      <c r="G608">
        <v>-0.001566683579233619</v>
      </c>
      <c r="H608">
        <v>0.055</v>
      </c>
      <c r="I608">
        <v>0.1088396454926084</v>
      </c>
      <c r="J608" t="s">
        <v>763</v>
      </c>
      <c r="K608" t="s">
        <v>358</v>
      </c>
      <c r="L608">
        <v>4.58</v>
      </c>
      <c r="M608">
        <v>3.26</v>
      </c>
      <c r="N608">
        <v>0.7117903930131004</v>
      </c>
      <c r="O608">
        <v>4</v>
      </c>
      <c r="P608">
        <v>0.07999957023861581</v>
      </c>
      <c r="Q608">
        <v>0.557635075719167</v>
      </c>
      <c r="R608" t="s">
        <v>765</v>
      </c>
      <c r="S608" t="s">
        <v>771</v>
      </c>
      <c r="T608">
        <v>2447.539336</v>
      </c>
      <c r="U608" s="2">
        <v>44420</v>
      </c>
      <c r="V608" t="s">
        <v>782</v>
      </c>
    </row>
    <row r="609" spans="1:22">
      <c r="A609" s="1" t="s">
        <v>629</v>
      </c>
      <c r="B609">
        <f>HYPERLINK("https://www.suredividend.com/sure-analysis-VICI/","VICI Properties Inc")</f>
        <v>0</v>
      </c>
      <c r="C609">
        <v>30.045</v>
      </c>
      <c r="D609">
        <v>31</v>
      </c>
      <c r="E609">
        <v>0.9691935483870968</v>
      </c>
      <c r="F609">
        <v>0.04593110334498252</v>
      </c>
      <c r="G609">
        <v>0.006277812721011911</v>
      </c>
      <c r="H609">
        <v>0.06</v>
      </c>
      <c r="I609">
        <v>0.1060803192867108</v>
      </c>
      <c r="J609" t="s">
        <v>763</v>
      </c>
      <c r="K609" t="s">
        <v>358</v>
      </c>
      <c r="L609">
        <v>2</v>
      </c>
      <c r="M609">
        <v>1.38</v>
      </c>
      <c r="N609">
        <v>0.6899999999999999</v>
      </c>
      <c r="O609">
        <v>2</v>
      </c>
      <c r="P609">
        <v>0.06037267654962997</v>
      </c>
      <c r="Q609">
        <v>0.375709609248746</v>
      </c>
      <c r="R609" t="s">
        <v>767</v>
      </c>
      <c r="S609" t="s">
        <v>779</v>
      </c>
      <c r="T609">
        <v>17989.101224</v>
      </c>
      <c r="U609" s="2">
        <v>44432</v>
      </c>
      <c r="V609" t="s">
        <v>787</v>
      </c>
    </row>
    <row r="610" spans="1:22">
      <c r="A610" s="1" t="s">
        <v>630</v>
      </c>
      <c r="B610">
        <f>HYPERLINK("https://www.suredividend.com/sure-analysis-WSO/","Watsco Inc.")</f>
        <v>0</v>
      </c>
      <c r="C610">
        <v>278.97</v>
      </c>
      <c r="D610">
        <v>253</v>
      </c>
      <c r="E610">
        <v>1.102648221343874</v>
      </c>
      <c r="F610">
        <v>0.0279599956984622</v>
      </c>
      <c r="G610">
        <v>-0.01935322654062099</v>
      </c>
      <c r="H610">
        <v>0.1</v>
      </c>
      <c r="I610">
        <v>0.1051188931521698</v>
      </c>
      <c r="J610" t="s">
        <v>763</v>
      </c>
      <c r="K610" t="s">
        <v>498</v>
      </c>
      <c r="L610">
        <v>10.13</v>
      </c>
      <c r="M610">
        <v>7.8</v>
      </c>
      <c r="N610">
        <v>0.769990128331688</v>
      </c>
      <c r="O610">
        <v>8</v>
      </c>
      <c r="P610">
        <v>0.0999653567765697</v>
      </c>
      <c r="Q610">
        <v>0.250405101268583</v>
      </c>
      <c r="R610" t="s">
        <v>767</v>
      </c>
      <c r="S610" t="s">
        <v>779</v>
      </c>
      <c r="T610">
        <v>10770.747202</v>
      </c>
      <c r="U610" s="2">
        <v>44445</v>
      </c>
      <c r="V610" t="s">
        <v>781</v>
      </c>
    </row>
    <row r="611" spans="1:22">
      <c r="A611" s="1" t="s">
        <v>631</v>
      </c>
      <c r="B611">
        <f>HYPERLINK("https://www.suredividend.com/sure-analysis-USAC/","USA Compression Partners LP")</f>
        <v>0</v>
      </c>
      <c r="C611">
        <v>15.86</v>
      </c>
      <c r="D611">
        <v>14.6</v>
      </c>
      <c r="E611">
        <v>1.086301369863014</v>
      </c>
      <c r="F611">
        <v>0.1324085750315259</v>
      </c>
      <c r="G611">
        <v>-0.01641944445690724</v>
      </c>
      <c r="H611">
        <v>0.01</v>
      </c>
      <c r="I611">
        <v>0.102589416636232</v>
      </c>
      <c r="J611" t="s">
        <v>763</v>
      </c>
      <c r="K611" t="s">
        <v>358</v>
      </c>
      <c r="L611">
        <v>2.09</v>
      </c>
      <c r="M611">
        <v>2.1</v>
      </c>
      <c r="N611">
        <v>1.004784688995215</v>
      </c>
      <c r="O611">
        <v>0</v>
      </c>
      <c r="P611">
        <v>0</v>
      </c>
      <c r="Q611">
        <v>0.8091397240410531</v>
      </c>
      <c r="R611" t="s">
        <v>766</v>
      </c>
      <c r="S611" t="s">
        <v>778</v>
      </c>
      <c r="T611">
        <v>1550.163503</v>
      </c>
      <c r="U611" s="2">
        <v>44421</v>
      </c>
      <c r="V611" t="s">
        <v>782</v>
      </c>
    </row>
    <row r="612" spans="1:22">
      <c r="A612" s="1" t="s">
        <v>632</v>
      </c>
      <c r="B612">
        <f>HYPERLINK("https://www.suredividend.com/sure-analysis-LUMN/","Lumen Technologies Inc")</f>
        <v>0</v>
      </c>
      <c r="C612">
        <v>12.895</v>
      </c>
      <c r="D612">
        <v>15</v>
      </c>
      <c r="E612">
        <v>0.8596666666666667</v>
      </c>
      <c r="F612">
        <v>0.07754943776657619</v>
      </c>
      <c r="G612">
        <v>0.03070404993042741</v>
      </c>
      <c r="H612">
        <v>0.013</v>
      </c>
      <c r="I612">
        <v>0.1024589035264827</v>
      </c>
      <c r="J612" t="s">
        <v>763</v>
      </c>
      <c r="K612" t="s">
        <v>762</v>
      </c>
      <c r="L612">
        <v>1.66</v>
      </c>
      <c r="M612">
        <v>1</v>
      </c>
      <c r="N612">
        <v>0.6024096385542169</v>
      </c>
      <c r="O612">
        <v>0</v>
      </c>
      <c r="P612">
        <v>0</v>
      </c>
      <c r="Q612">
        <v>0.341397877788432</v>
      </c>
      <c r="R612" t="s">
        <v>765</v>
      </c>
      <c r="S612" t="s">
        <v>769</v>
      </c>
      <c r="T612">
        <v>14069.605053</v>
      </c>
      <c r="U612" s="2">
        <v>44413</v>
      </c>
      <c r="V612" t="s">
        <v>782</v>
      </c>
    </row>
    <row r="613" spans="1:22">
      <c r="A613" s="1" t="s">
        <v>633</v>
      </c>
      <c r="B613">
        <f>HYPERLINK("https://www.suredividend.com/sure-analysis-SSREY/","Swiss Re Ltd")</f>
        <v>0</v>
      </c>
      <c r="C613">
        <v>21.75</v>
      </c>
      <c r="D613">
        <v>21</v>
      </c>
      <c r="E613">
        <v>1.035714285714286</v>
      </c>
      <c r="F613">
        <v>0.07402298850574714</v>
      </c>
      <c r="G613">
        <v>-0.006993693462086226</v>
      </c>
      <c r="H613">
        <v>0.05</v>
      </c>
      <c r="I613">
        <v>0.1020429808481469</v>
      </c>
      <c r="J613" t="s">
        <v>763</v>
      </c>
      <c r="K613" t="s">
        <v>358</v>
      </c>
      <c r="L613">
        <v>1.75</v>
      </c>
      <c r="M613">
        <v>1.61</v>
      </c>
      <c r="N613">
        <v>0.92</v>
      </c>
      <c r="O613">
        <v>5</v>
      </c>
      <c r="P613">
        <v>0.02027871203234244</v>
      </c>
      <c r="Q613">
        <v>0.168098818474758</v>
      </c>
      <c r="R613" t="s">
        <v>765</v>
      </c>
      <c r="S613" t="s">
        <v>773</v>
      </c>
      <c r="T613">
        <v>27622.265622</v>
      </c>
      <c r="U613" s="2">
        <v>44408</v>
      </c>
      <c r="V613" t="s">
        <v>780</v>
      </c>
    </row>
    <row r="614" spans="1:22">
      <c r="A614" s="1" t="s">
        <v>634</v>
      </c>
      <c r="B614">
        <f>HYPERLINK("https://www.suredividend.com/sure-analysis-CTRE/","CareTrust REIT Inc")</f>
        <v>0</v>
      </c>
      <c r="C614">
        <v>21.48</v>
      </c>
      <c r="D614">
        <v>22</v>
      </c>
      <c r="E614">
        <v>0.9763636363636364</v>
      </c>
      <c r="F614">
        <v>0.04934823091247673</v>
      </c>
      <c r="G614">
        <v>0.004795498517872865</v>
      </c>
      <c r="H614">
        <v>0.055</v>
      </c>
      <c r="I614">
        <v>0.1019097430250122</v>
      </c>
      <c r="J614" t="s">
        <v>763</v>
      </c>
      <c r="K614" t="s">
        <v>358</v>
      </c>
      <c r="L614">
        <v>1.49</v>
      </c>
      <c r="M614">
        <v>1.06</v>
      </c>
      <c r="N614">
        <v>0.7114093959731544</v>
      </c>
      <c r="O614">
        <v>5</v>
      </c>
      <c r="P614">
        <v>0.04955591526723868</v>
      </c>
      <c r="Q614">
        <v>0.288497233785658</v>
      </c>
      <c r="R614" t="s">
        <v>767</v>
      </c>
      <c r="S614" t="s">
        <v>779</v>
      </c>
      <c r="T614">
        <v>2081.402809</v>
      </c>
      <c r="U614" s="2">
        <v>44414</v>
      </c>
      <c r="V614" t="s">
        <v>782</v>
      </c>
    </row>
    <row r="615" spans="1:22">
      <c r="A615" s="1" t="s">
        <v>635</v>
      </c>
      <c r="B615">
        <f>HYPERLINK("https://www.suredividend.com/sure-analysis-TRP/","TC Energy Corporation")</f>
        <v>0</v>
      </c>
      <c r="C615">
        <v>49.115</v>
      </c>
      <c r="D615">
        <v>53</v>
      </c>
      <c r="E615">
        <v>0.9266981132075472</v>
      </c>
      <c r="F615">
        <v>0.05619464522040109</v>
      </c>
      <c r="G615">
        <v>0.01534198348240778</v>
      </c>
      <c r="H615">
        <v>0.04</v>
      </c>
      <c r="I615">
        <v>0.1013217701135767</v>
      </c>
      <c r="J615" t="s">
        <v>763</v>
      </c>
      <c r="K615" t="s">
        <v>358</v>
      </c>
      <c r="L615">
        <v>3.3</v>
      </c>
      <c r="M615">
        <v>2.76</v>
      </c>
      <c r="N615">
        <v>0.8363636363636363</v>
      </c>
      <c r="O615">
        <v>6</v>
      </c>
      <c r="P615">
        <v>0.03002598081465924</v>
      </c>
      <c r="Q615">
        <v>0.188596427691906</v>
      </c>
      <c r="R615" t="s">
        <v>765</v>
      </c>
      <c r="S615" t="s">
        <v>778</v>
      </c>
      <c r="T615">
        <v>48205.967164</v>
      </c>
      <c r="U615" s="2">
        <v>44438</v>
      </c>
      <c r="V615" t="s">
        <v>787</v>
      </c>
    </row>
    <row r="616" spans="1:22">
      <c r="A616" s="1" t="s">
        <v>636</v>
      </c>
      <c r="B616">
        <f>HYPERLINK("https://www.suredividend.com/sure-analysis-WEN/","Wendy`s Co")</f>
        <v>0</v>
      </c>
      <c r="C616">
        <v>22.655</v>
      </c>
      <c r="D616">
        <v>24</v>
      </c>
      <c r="E616">
        <v>0.9439583333333333</v>
      </c>
      <c r="F616">
        <v>0.0211873758552196</v>
      </c>
      <c r="G616">
        <v>0.01160143104284028</v>
      </c>
      <c r="H616">
        <v>0.07000000000000001</v>
      </c>
      <c r="I616">
        <v>0.09867829667143058</v>
      </c>
      <c r="J616" t="s">
        <v>763</v>
      </c>
      <c r="K616" t="s">
        <v>763</v>
      </c>
      <c r="L616">
        <v>0.8</v>
      </c>
      <c r="M616">
        <v>0.48</v>
      </c>
      <c r="N616">
        <v>0.6</v>
      </c>
      <c r="O616">
        <v>0</v>
      </c>
      <c r="P616">
        <v>0.02760046099310043</v>
      </c>
      <c r="Q616">
        <v>0.085709028043447</v>
      </c>
      <c r="R616" t="s">
        <v>765</v>
      </c>
      <c r="S616" t="s">
        <v>775</v>
      </c>
      <c r="T616">
        <v>4994.900099</v>
      </c>
      <c r="U616" s="2">
        <v>44419</v>
      </c>
      <c r="V616" t="s">
        <v>782</v>
      </c>
    </row>
    <row r="617" spans="1:22">
      <c r="A617" s="1" t="s">
        <v>637</v>
      </c>
      <c r="B617">
        <f>HYPERLINK("https://www.suredividend.com/sure-analysis-FCPT/","Four Corners Property Trust Inc")</f>
        <v>0</v>
      </c>
      <c r="C617">
        <v>27.51</v>
      </c>
      <c r="D617">
        <v>29</v>
      </c>
      <c r="E617">
        <v>0.9486206896551724</v>
      </c>
      <c r="F617">
        <v>0.0465285350781534</v>
      </c>
      <c r="G617">
        <v>0.01060509054077174</v>
      </c>
      <c r="H617">
        <v>0.05</v>
      </c>
      <c r="I617">
        <v>0.09848343653886893</v>
      </c>
      <c r="J617" t="s">
        <v>763</v>
      </c>
      <c r="K617" t="s">
        <v>498</v>
      </c>
      <c r="L617">
        <v>1.55</v>
      </c>
      <c r="M617">
        <v>1.28</v>
      </c>
      <c r="N617">
        <v>0.8258064516129032</v>
      </c>
      <c r="O617">
        <v>4</v>
      </c>
      <c r="P617">
        <v>0.02946206823925857</v>
      </c>
      <c r="Q617">
        <v>0.192422766490398</v>
      </c>
      <c r="R617" t="s">
        <v>767</v>
      </c>
      <c r="S617" t="s">
        <v>779</v>
      </c>
      <c r="T617">
        <v>2089.469835</v>
      </c>
      <c r="U617" s="2">
        <v>44445</v>
      </c>
      <c r="V617" t="s">
        <v>786</v>
      </c>
    </row>
    <row r="618" spans="1:22">
      <c r="A618" s="1" t="s">
        <v>638</v>
      </c>
      <c r="B618">
        <f>HYPERLINK("https://www.suredividend.com/sure-analysis-MGP/","MGM Growth Properties LLC")</f>
        <v>0</v>
      </c>
      <c r="C618">
        <v>41.06</v>
      </c>
      <c r="D618">
        <v>38</v>
      </c>
      <c r="E618">
        <v>1.080526315789474</v>
      </c>
      <c r="F618">
        <v>0.05065757428153921</v>
      </c>
      <c r="G618">
        <v>-0.01537030275078355</v>
      </c>
      <c r="H618">
        <v>0.0702</v>
      </c>
      <c r="I618">
        <v>0.09643050964488431</v>
      </c>
      <c r="J618" t="s">
        <v>763</v>
      </c>
      <c r="K618" t="s">
        <v>358</v>
      </c>
      <c r="L618">
        <v>2.54</v>
      </c>
      <c r="M618">
        <v>2.08</v>
      </c>
      <c r="N618">
        <v>0.8188976377952756</v>
      </c>
      <c r="O618">
        <v>5</v>
      </c>
      <c r="P618">
        <v>0.03994755272054218</v>
      </c>
      <c r="Q618">
        <v>0.5855253765092201</v>
      </c>
      <c r="R618" t="s">
        <v>767</v>
      </c>
      <c r="S618" t="s">
        <v>779</v>
      </c>
      <c r="T618">
        <v>6436.896588</v>
      </c>
      <c r="U618" s="2">
        <v>44443</v>
      </c>
      <c r="V618" t="s">
        <v>786</v>
      </c>
    </row>
    <row r="619" spans="1:22">
      <c r="A619" s="1" t="s">
        <v>639</v>
      </c>
      <c r="B619">
        <f>HYPERLINK("https://www.suredividend.com/sure-analysis-AFIN/","American Fin Tr Inc")</f>
        <v>0</v>
      </c>
      <c r="C619">
        <v>8.369999999999999</v>
      </c>
      <c r="D619">
        <v>9</v>
      </c>
      <c r="E619">
        <v>0.9299999999999999</v>
      </c>
      <c r="F619">
        <v>0.1015531660692951</v>
      </c>
      <c r="G619">
        <v>0.01461998012252352</v>
      </c>
      <c r="H619">
        <v>0</v>
      </c>
      <c r="I619">
        <v>0.09622091564761992</v>
      </c>
      <c r="J619" t="s">
        <v>763</v>
      </c>
      <c r="K619" t="s">
        <v>358</v>
      </c>
      <c r="L619">
        <v>1</v>
      </c>
      <c r="M619">
        <v>0.85</v>
      </c>
      <c r="N619">
        <v>0.85</v>
      </c>
      <c r="O619">
        <v>0</v>
      </c>
      <c r="P619">
        <v>0</v>
      </c>
      <c r="Q619">
        <v>0.516610058666472</v>
      </c>
      <c r="R619" t="s">
        <v>767</v>
      </c>
      <c r="S619" t="s">
        <v>779</v>
      </c>
      <c r="T619">
        <v>983.795656</v>
      </c>
      <c r="U619" s="2">
        <v>44431</v>
      </c>
      <c r="V619" t="s">
        <v>780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6.61</v>
      </c>
      <c r="D620">
        <v>6.3</v>
      </c>
      <c r="E620">
        <v>1.049206349206349</v>
      </c>
      <c r="F620">
        <v>0.102874432677761</v>
      </c>
      <c r="G620">
        <v>-0.009560806166315716</v>
      </c>
      <c r="H620">
        <v>0.018</v>
      </c>
      <c r="I620">
        <v>0.09377305875962416</v>
      </c>
      <c r="J620" t="s">
        <v>763</v>
      </c>
      <c r="K620" t="s">
        <v>358</v>
      </c>
      <c r="L620">
        <v>0.73</v>
      </c>
      <c r="M620">
        <v>0.68</v>
      </c>
      <c r="N620">
        <v>0.9315068493150686</v>
      </c>
      <c r="O620">
        <v>0</v>
      </c>
      <c r="P620">
        <v>0.005814345444414393</v>
      </c>
      <c r="Q620">
        <v>0.474695564741369</v>
      </c>
      <c r="R620" t="s">
        <v>767</v>
      </c>
      <c r="S620" t="s">
        <v>779</v>
      </c>
      <c r="T620">
        <v>2071.628863</v>
      </c>
      <c r="U620" s="2">
        <v>44420</v>
      </c>
      <c r="V620" t="s">
        <v>790</v>
      </c>
    </row>
    <row r="621" spans="1:22">
      <c r="A621" s="1" t="s">
        <v>641</v>
      </c>
      <c r="B621">
        <f>HYPERLINK("https://www.suredividend.com/sure-analysis-GSK/","Glaxosmithkline plc")</f>
        <v>0</v>
      </c>
      <c r="C621">
        <v>38.585</v>
      </c>
      <c r="D621">
        <v>40</v>
      </c>
      <c r="E621">
        <v>0.9646250000000001</v>
      </c>
      <c r="F621">
        <v>0.06608785797589736</v>
      </c>
      <c r="G621">
        <v>0.007229176078513255</v>
      </c>
      <c r="H621">
        <v>0.03</v>
      </c>
      <c r="I621">
        <v>0.09349790341100817</v>
      </c>
      <c r="J621" t="s">
        <v>763</v>
      </c>
      <c r="K621" t="s">
        <v>358</v>
      </c>
      <c r="L621">
        <v>2.69</v>
      </c>
      <c r="M621">
        <v>2.55</v>
      </c>
      <c r="N621">
        <v>0.9479553903345724</v>
      </c>
      <c r="O621">
        <v>3</v>
      </c>
      <c r="P621">
        <v>0.03026822589808931</v>
      </c>
      <c r="Q621">
        <v>0.101587417149929</v>
      </c>
      <c r="R621" t="s">
        <v>765</v>
      </c>
      <c r="S621" t="s">
        <v>770</v>
      </c>
      <c r="T621">
        <v>98961.268736</v>
      </c>
      <c r="U621" s="2">
        <v>44407</v>
      </c>
      <c r="V621" t="s">
        <v>781</v>
      </c>
    </row>
    <row r="622" spans="1:22">
      <c r="A622" s="1" t="s">
        <v>642</v>
      </c>
      <c r="B622">
        <f>HYPERLINK("https://www.suredividend.com/sure-analysis-HR/","Healthcare Realty Trust, Inc.")</f>
        <v>0</v>
      </c>
      <c r="C622">
        <v>30.86</v>
      </c>
      <c r="D622">
        <v>31</v>
      </c>
      <c r="E622">
        <v>0.9954838709677419</v>
      </c>
      <c r="F622">
        <v>0.03920933246921581</v>
      </c>
      <c r="G622">
        <v>0.0009056813919552376</v>
      </c>
      <c r="H622">
        <v>0.06</v>
      </c>
      <c r="I622">
        <v>0.09092698629733476</v>
      </c>
      <c r="J622" t="s">
        <v>763</v>
      </c>
      <c r="K622" t="s">
        <v>498</v>
      </c>
      <c r="L622">
        <v>1.7</v>
      </c>
      <c r="M622">
        <v>1.21</v>
      </c>
      <c r="N622">
        <v>0.711764705882353</v>
      </c>
      <c r="O622">
        <v>1</v>
      </c>
      <c r="P622">
        <v>0.008131151974167583</v>
      </c>
      <c r="Q622">
        <v>0.147606441976367</v>
      </c>
      <c r="R622" t="s">
        <v>767</v>
      </c>
      <c r="S622" t="s">
        <v>779</v>
      </c>
      <c r="T622">
        <v>4517.240553</v>
      </c>
      <c r="U622" s="2">
        <v>44425</v>
      </c>
      <c r="V622" t="s">
        <v>782</v>
      </c>
    </row>
    <row r="623" spans="1:22">
      <c r="A623" s="1" t="s">
        <v>643</v>
      </c>
      <c r="B623">
        <f>HYPERLINK("https://www.suredividend.com/sure-analysis-QSR/","Restaurant Brands International Inc")</f>
        <v>0</v>
      </c>
      <c r="C623">
        <v>62.88</v>
      </c>
      <c r="D623">
        <v>53</v>
      </c>
      <c r="E623">
        <v>1.186415094339623</v>
      </c>
      <c r="F623">
        <v>0.03371501272264631</v>
      </c>
      <c r="G623">
        <v>-0.03360946595004999</v>
      </c>
      <c r="H623">
        <v>0.1</v>
      </c>
      <c r="I623">
        <v>0.09085650349110685</v>
      </c>
      <c r="J623" t="s">
        <v>763</v>
      </c>
      <c r="K623" t="s">
        <v>498</v>
      </c>
      <c r="L623">
        <v>2.8</v>
      </c>
      <c r="M623">
        <v>2.12</v>
      </c>
      <c r="N623">
        <v>0.7571428571428572</v>
      </c>
      <c r="O623">
        <v>9</v>
      </c>
      <c r="P623">
        <v>0.03517300006217261</v>
      </c>
      <c r="Q623">
        <v>0.179731868890339</v>
      </c>
      <c r="R623" t="s">
        <v>765</v>
      </c>
      <c r="S623" t="s">
        <v>775</v>
      </c>
      <c r="T623">
        <v>19401.488457</v>
      </c>
      <c r="U623" s="2">
        <v>44424</v>
      </c>
      <c r="V623" t="s">
        <v>787</v>
      </c>
    </row>
    <row r="624" spans="1:22">
      <c r="A624" s="1" t="s">
        <v>644</v>
      </c>
      <c r="B624">
        <f>HYPERLINK("https://www.suredividend.com/sure-analysis-SACH/","Sachem Capital Corp")</f>
        <v>0</v>
      </c>
      <c r="C624">
        <v>5.26</v>
      </c>
      <c r="D624">
        <v>5.15</v>
      </c>
      <c r="E624">
        <v>1.021359223300971</v>
      </c>
      <c r="F624">
        <v>0.09125475285171103</v>
      </c>
      <c r="G624">
        <v>-0.004217941805013892</v>
      </c>
      <c r="H624">
        <v>0.02</v>
      </c>
      <c r="I624">
        <v>0.0898074486427809</v>
      </c>
      <c r="J624" t="s">
        <v>763</v>
      </c>
      <c r="K624" t="s">
        <v>358</v>
      </c>
      <c r="L624">
        <v>0.46</v>
      </c>
      <c r="M624">
        <v>0.48</v>
      </c>
      <c r="N624">
        <v>1.043478260869565</v>
      </c>
      <c r="O624">
        <v>0</v>
      </c>
      <c r="P624">
        <v>0</v>
      </c>
      <c r="Q624">
        <v>0.541126049433452</v>
      </c>
      <c r="R624" t="s">
        <v>765</v>
      </c>
      <c r="S624" t="s">
        <v>779</v>
      </c>
      <c r="T624">
        <v>148.658633</v>
      </c>
      <c r="U624" s="2">
        <v>44427</v>
      </c>
      <c r="V624" t="s">
        <v>780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15.505</v>
      </c>
      <c r="D625">
        <v>14.8</v>
      </c>
      <c r="E625">
        <v>1.047635135135135</v>
      </c>
      <c r="F625">
        <v>0.07739438890680425</v>
      </c>
      <c r="G625">
        <v>-0.009263897593536741</v>
      </c>
      <c r="H625">
        <v>0.034</v>
      </c>
      <c r="I625">
        <v>0.08939108210544111</v>
      </c>
      <c r="J625" t="s">
        <v>763</v>
      </c>
      <c r="K625" t="s">
        <v>358</v>
      </c>
      <c r="L625">
        <v>1.61</v>
      </c>
      <c r="M625">
        <v>1.2</v>
      </c>
      <c r="N625">
        <v>0.7453416149068323</v>
      </c>
      <c r="O625">
        <v>0</v>
      </c>
      <c r="P625">
        <v>0.01613736474159566</v>
      </c>
      <c r="Q625">
        <v>0.229271381644041</v>
      </c>
      <c r="R625" t="s">
        <v>767</v>
      </c>
      <c r="S625" t="s">
        <v>779</v>
      </c>
      <c r="T625">
        <v>3429.398335</v>
      </c>
      <c r="U625" s="2">
        <v>44420</v>
      </c>
      <c r="V625" t="s">
        <v>790</v>
      </c>
    </row>
    <row r="626" spans="1:22">
      <c r="A626" s="1" t="s">
        <v>646</v>
      </c>
      <c r="B626">
        <f>HYPERLINK("https://www.suredividend.com/sure-analysis-VST/","Vistra Corp")</f>
        <v>0</v>
      </c>
      <c r="C626">
        <v>17.8</v>
      </c>
      <c r="D626">
        <v>16</v>
      </c>
      <c r="E626">
        <v>1.1125</v>
      </c>
      <c r="F626">
        <v>0.03370786516853932</v>
      </c>
      <c r="G626">
        <v>-0.0210962413074185</v>
      </c>
      <c r="H626">
        <v>0.08</v>
      </c>
      <c r="I626">
        <v>0.0893541413257295</v>
      </c>
      <c r="J626" t="s">
        <v>763</v>
      </c>
      <c r="K626" t="s">
        <v>763</v>
      </c>
      <c r="L626">
        <v>-1.34</v>
      </c>
      <c r="M626">
        <v>0.6</v>
      </c>
      <c r="N626">
        <v>9.99</v>
      </c>
      <c r="O626">
        <v>1</v>
      </c>
      <c r="P626">
        <v>0.0796084730466029</v>
      </c>
      <c r="Q626">
        <v>0.012528676813035</v>
      </c>
      <c r="R626" t="s">
        <v>765</v>
      </c>
      <c r="S626" t="s">
        <v>776</v>
      </c>
      <c r="T626">
        <v>8497.155504</v>
      </c>
      <c r="U626" s="2">
        <v>44414</v>
      </c>
      <c r="V626" t="s">
        <v>782</v>
      </c>
    </row>
    <row r="627" spans="1:22">
      <c r="A627" s="1" t="s">
        <v>647</v>
      </c>
      <c r="B627">
        <f>HYPERLINK("https://www.suredividend.com/sure-analysis-UMH/","UMH Properties Inc")</f>
        <v>0</v>
      </c>
      <c r="C627">
        <v>23.705</v>
      </c>
      <c r="D627">
        <v>25</v>
      </c>
      <c r="E627">
        <v>0.9481999999999999</v>
      </c>
      <c r="F627">
        <v>0.03206074667791605</v>
      </c>
      <c r="G627">
        <v>0.01069475003794573</v>
      </c>
      <c r="H627">
        <v>0.051</v>
      </c>
      <c r="I627">
        <v>0.08878229098317858</v>
      </c>
      <c r="J627" t="s">
        <v>763</v>
      </c>
      <c r="K627" t="s">
        <v>498</v>
      </c>
      <c r="L627">
        <v>0.86</v>
      </c>
      <c r="M627">
        <v>0.76</v>
      </c>
      <c r="N627">
        <v>0.8837209302325582</v>
      </c>
      <c r="O627">
        <v>1</v>
      </c>
      <c r="P627">
        <v>0.03439350143683439</v>
      </c>
      <c r="Q627">
        <v>0.8809446627503371</v>
      </c>
      <c r="R627" t="s">
        <v>767</v>
      </c>
      <c r="S627" t="s">
        <v>779</v>
      </c>
      <c r="T627">
        <v>1128.427121</v>
      </c>
      <c r="U627" s="2">
        <v>44452</v>
      </c>
      <c r="V627" t="s">
        <v>790</v>
      </c>
    </row>
    <row r="628" spans="1:22">
      <c r="A628" s="1" t="s">
        <v>648</v>
      </c>
      <c r="B628">
        <f>HYPERLINK("https://www.suredividend.com/sure-analysis-EFC/","Ellington Financial Inc")</f>
        <v>0</v>
      </c>
      <c r="C628">
        <v>18.73</v>
      </c>
      <c r="D628">
        <v>18.3</v>
      </c>
      <c r="E628">
        <v>1.023497267759563</v>
      </c>
      <c r="F628">
        <v>0.09610250934329952</v>
      </c>
      <c r="G628">
        <v>-0.004634319570074985</v>
      </c>
      <c r="H628">
        <v>0.01</v>
      </c>
      <c r="I628">
        <v>0.08759369534424488</v>
      </c>
      <c r="J628" t="s">
        <v>763</v>
      </c>
      <c r="K628" t="s">
        <v>358</v>
      </c>
      <c r="L628">
        <v>1.83</v>
      </c>
      <c r="M628">
        <v>1.8</v>
      </c>
      <c r="N628">
        <v>0.9836065573770492</v>
      </c>
      <c r="O628">
        <v>1</v>
      </c>
      <c r="P628">
        <v>0.009805797673485328</v>
      </c>
      <c r="Q628">
        <v>0.660312822888089</v>
      </c>
      <c r="R628" t="s">
        <v>767</v>
      </c>
      <c r="S628" t="s">
        <v>773</v>
      </c>
      <c r="T628">
        <v>934.275142</v>
      </c>
      <c r="U628" s="2">
        <v>44418</v>
      </c>
      <c r="V628" t="s">
        <v>780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5.025</v>
      </c>
      <c r="D629">
        <v>3.8</v>
      </c>
      <c r="E629">
        <v>1.322368421052632</v>
      </c>
      <c r="F629">
        <v>0.1552238805970149</v>
      </c>
      <c r="G629">
        <v>-0.05435200496016868</v>
      </c>
      <c r="H629">
        <v>-0.008</v>
      </c>
      <c r="I629">
        <v>0.08655600398906693</v>
      </c>
      <c r="J629" t="s">
        <v>763</v>
      </c>
      <c r="K629" t="s">
        <v>762</v>
      </c>
      <c r="L629">
        <v>1.06</v>
      </c>
      <c r="M629">
        <v>0.78</v>
      </c>
      <c r="N629">
        <v>0.7358490566037735</v>
      </c>
      <c r="O629">
        <v>0</v>
      </c>
      <c r="P629">
        <v>0.005076403090295889</v>
      </c>
      <c r="Q629">
        <v>0.172685519781782</v>
      </c>
      <c r="R629" t="s">
        <v>767</v>
      </c>
      <c r="S629" t="s">
        <v>779</v>
      </c>
      <c r="T629">
        <v>694.417354</v>
      </c>
      <c r="U629" s="2">
        <v>44415</v>
      </c>
      <c r="V629" t="s">
        <v>790</v>
      </c>
    </row>
    <row r="630" spans="1:22">
      <c r="A630" s="1" t="s">
        <v>650</v>
      </c>
      <c r="B630">
        <f>HYPERLINK("https://www.suredividend.com/sure-analysis-SFL/","SFL Corporation Ltd")</f>
        <v>0</v>
      </c>
      <c r="C630">
        <v>7.995</v>
      </c>
      <c r="D630">
        <v>7.57</v>
      </c>
      <c r="E630">
        <v>1.056142668428005</v>
      </c>
      <c r="F630">
        <v>0.07504690431519699</v>
      </c>
      <c r="G630">
        <v>-0.01086519842944866</v>
      </c>
      <c r="H630">
        <v>0.03</v>
      </c>
      <c r="I630">
        <v>0.08586155976193344</v>
      </c>
      <c r="J630" t="s">
        <v>763</v>
      </c>
      <c r="K630" t="s">
        <v>358</v>
      </c>
      <c r="L630">
        <v>0.89</v>
      </c>
      <c r="M630">
        <v>0.6</v>
      </c>
      <c r="N630">
        <v>0.6741573033707865</v>
      </c>
      <c r="O630">
        <v>0</v>
      </c>
      <c r="P630">
        <v>0.03131030647754507</v>
      </c>
      <c r="Q630">
        <v>0.112742882964301</v>
      </c>
      <c r="R630" t="s">
        <v>765</v>
      </c>
      <c r="S630" t="s">
        <v>772</v>
      </c>
      <c r="T630">
        <v>1009.625591</v>
      </c>
      <c r="U630" s="2">
        <v>44428</v>
      </c>
      <c r="V630" t="s">
        <v>780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10.21</v>
      </c>
      <c r="D631">
        <v>10.6</v>
      </c>
      <c r="E631">
        <v>0.9632075471698114</v>
      </c>
      <c r="F631">
        <v>0.07149853085210577</v>
      </c>
      <c r="G631">
        <v>0.007525448713112892</v>
      </c>
      <c r="H631">
        <v>0.02</v>
      </c>
      <c r="I631">
        <v>0.08501302770309382</v>
      </c>
      <c r="J631" t="s">
        <v>763</v>
      </c>
      <c r="K631" t="s">
        <v>358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0.316799184900014</v>
      </c>
      <c r="R631" t="s">
        <v>765</v>
      </c>
      <c r="S631" t="s">
        <v>776</v>
      </c>
      <c r="T631">
        <v>158.994081</v>
      </c>
      <c r="U631" s="2">
        <v>44442</v>
      </c>
      <c r="V631" t="s">
        <v>787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18.85</v>
      </c>
      <c r="D632">
        <v>19.2</v>
      </c>
      <c r="E632">
        <v>0.9817708333333335</v>
      </c>
      <c r="F632">
        <v>0.09549071618037135</v>
      </c>
      <c r="G632">
        <v>0.003686250598905261</v>
      </c>
      <c r="H632">
        <v>0</v>
      </c>
      <c r="I632">
        <v>0.08389584321943322</v>
      </c>
      <c r="J632" t="s">
        <v>763</v>
      </c>
      <c r="K632" t="s">
        <v>358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0.35691174669059</v>
      </c>
      <c r="R632" t="s">
        <v>768</v>
      </c>
      <c r="S632" t="s">
        <v>773</v>
      </c>
      <c r="T632">
        <v>1915.874939</v>
      </c>
      <c r="U632" s="2">
        <v>44416</v>
      </c>
      <c r="V632" t="s">
        <v>780</v>
      </c>
    </row>
    <row r="633" spans="1:22">
      <c r="A633" s="1" t="s">
        <v>653</v>
      </c>
      <c r="B633">
        <f>HYPERLINK("https://www.suredividend.com/sure-analysis-CWCO/","Consolidated Water Co. Ltd.")</f>
        <v>0</v>
      </c>
      <c r="C633">
        <v>11.6</v>
      </c>
      <c r="D633">
        <v>12.4</v>
      </c>
      <c r="E633">
        <v>0.9354838709677419</v>
      </c>
      <c r="F633">
        <v>0.02931034482758621</v>
      </c>
      <c r="G633">
        <v>0.01342762651187823</v>
      </c>
      <c r="H633">
        <v>0.042</v>
      </c>
      <c r="I633">
        <v>0.08259301258879836</v>
      </c>
      <c r="J633" t="s">
        <v>763</v>
      </c>
      <c r="K633" t="s">
        <v>763</v>
      </c>
      <c r="L633">
        <v>0.33</v>
      </c>
      <c r="M633">
        <v>0.34</v>
      </c>
      <c r="N633">
        <v>1.03030303030303</v>
      </c>
      <c r="O633">
        <v>0</v>
      </c>
      <c r="P633">
        <v>0.0576615571948691</v>
      </c>
      <c r="Q633">
        <v>0.136994169011068</v>
      </c>
      <c r="R633" t="s">
        <v>765</v>
      </c>
      <c r="S633" t="s">
        <v>776</v>
      </c>
      <c r="T633">
        <v>177.660964</v>
      </c>
      <c r="U633" s="2">
        <v>44431</v>
      </c>
      <c r="V633" t="s">
        <v>790</v>
      </c>
    </row>
    <row r="634" spans="1:22">
      <c r="A634" s="1" t="s">
        <v>654</v>
      </c>
      <c r="B634">
        <f>HYPERLINK("https://www.suredividend.com/sure-analysis-GMRE/","Global Medical REIT Inc")</f>
        <v>0</v>
      </c>
      <c r="C634">
        <v>14.95</v>
      </c>
      <c r="D634">
        <v>14.1</v>
      </c>
      <c r="E634">
        <v>1.060283687943262</v>
      </c>
      <c r="F634">
        <v>0.0548494983277592</v>
      </c>
      <c r="G634">
        <v>-0.01163903670271316</v>
      </c>
      <c r="H634">
        <v>0.05</v>
      </c>
      <c r="I634">
        <v>0.08243113133073443</v>
      </c>
      <c r="J634" t="s">
        <v>763</v>
      </c>
      <c r="K634" t="s">
        <v>358</v>
      </c>
      <c r="L634">
        <v>0.9399999999999999</v>
      </c>
      <c r="M634">
        <v>0.82</v>
      </c>
      <c r="N634">
        <v>0.8723404255319149</v>
      </c>
      <c r="O634">
        <v>1</v>
      </c>
      <c r="P634">
        <v>0.009571122817161548</v>
      </c>
      <c r="Q634">
        <v>0.252193200251597</v>
      </c>
      <c r="R634" t="s">
        <v>767</v>
      </c>
      <c r="S634" t="s">
        <v>779</v>
      </c>
      <c r="T634">
        <v>971.299384</v>
      </c>
      <c r="U634" s="2">
        <v>44418</v>
      </c>
      <c r="V634" t="s">
        <v>780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49.09</v>
      </c>
      <c r="D635">
        <v>49</v>
      </c>
      <c r="E635">
        <v>1.001836734693878</v>
      </c>
      <c r="F635">
        <v>0.05092686901609289</v>
      </c>
      <c r="G635">
        <v>-0.0003669426519382624</v>
      </c>
      <c r="H635">
        <v>0.04</v>
      </c>
      <c r="I635">
        <v>0.08225565663748191</v>
      </c>
      <c r="J635" t="s">
        <v>763</v>
      </c>
      <c r="K635" t="s">
        <v>358</v>
      </c>
      <c r="L635">
        <v>3.27</v>
      </c>
      <c r="M635">
        <v>2.5</v>
      </c>
      <c r="N635">
        <v>0.7645259938837921</v>
      </c>
      <c r="O635">
        <v>0</v>
      </c>
      <c r="P635">
        <v>0.0199850696295707</v>
      </c>
      <c r="Q635">
        <v>0.581081682334471</v>
      </c>
      <c r="R635" t="s">
        <v>767</v>
      </c>
      <c r="S635" t="s">
        <v>779</v>
      </c>
      <c r="T635">
        <v>5925.413453</v>
      </c>
      <c r="U635" s="2">
        <v>44413</v>
      </c>
      <c r="V635" t="s">
        <v>780</v>
      </c>
    </row>
    <row r="636" spans="1:22">
      <c r="A636" s="1" t="s">
        <v>656</v>
      </c>
      <c r="B636">
        <f>HYPERLINK("https://www.suredividend.com/sure-analysis-ORCC/","Owl Rock Capital Corp")</f>
        <v>0</v>
      </c>
      <c r="C636">
        <v>14.44</v>
      </c>
      <c r="D636">
        <v>13.8</v>
      </c>
      <c r="E636">
        <v>1.046376811594203</v>
      </c>
      <c r="F636">
        <v>0.08587257617728532</v>
      </c>
      <c r="G636">
        <v>-0.009025729601663701</v>
      </c>
      <c r="H636">
        <v>0.02</v>
      </c>
      <c r="I636">
        <v>0.08222257184512971</v>
      </c>
      <c r="J636" t="s">
        <v>763</v>
      </c>
      <c r="K636" t="s">
        <v>358</v>
      </c>
      <c r="L636">
        <v>1.15</v>
      </c>
      <c r="M636">
        <v>1.24</v>
      </c>
      <c r="N636">
        <v>1.078260869565217</v>
      </c>
      <c r="O636">
        <v>0</v>
      </c>
      <c r="P636">
        <v>0</v>
      </c>
      <c r="Q636">
        <v>0.304174806453946</v>
      </c>
      <c r="R636" t="s">
        <v>768</v>
      </c>
      <c r="S636" t="s">
        <v>773</v>
      </c>
      <c r="T636">
        <v>5655.776206</v>
      </c>
      <c r="U636" s="2">
        <v>44462</v>
      </c>
      <c r="V636" t="s">
        <v>780</v>
      </c>
    </row>
    <row r="637" spans="1:22">
      <c r="A637" s="1" t="s">
        <v>657</v>
      </c>
      <c r="B637">
        <f>HYPERLINK("https://www.suredividend.com/sure-analysis-KNOP/","KNOT Offshore Partners LP")</f>
        <v>0</v>
      </c>
      <c r="C637">
        <v>18.25</v>
      </c>
      <c r="D637">
        <v>16.5</v>
      </c>
      <c r="E637">
        <v>1.106060606060606</v>
      </c>
      <c r="F637">
        <v>0.113972602739726</v>
      </c>
      <c r="G637">
        <v>-0.01995906700190775</v>
      </c>
      <c r="H637">
        <v>0</v>
      </c>
      <c r="I637">
        <v>0.08068191138276215</v>
      </c>
      <c r="J637" t="s">
        <v>763</v>
      </c>
      <c r="K637" t="s">
        <v>762</v>
      </c>
      <c r="L637">
        <v>2.75</v>
      </c>
      <c r="M637">
        <v>2.08</v>
      </c>
      <c r="N637">
        <v>0.7563636363636363</v>
      </c>
      <c r="O637">
        <v>0</v>
      </c>
      <c r="P637">
        <v>0</v>
      </c>
      <c r="Q637">
        <v>0.6430051209384501</v>
      </c>
      <c r="R637" t="s">
        <v>766</v>
      </c>
      <c r="S637" t="s">
        <v>772</v>
      </c>
      <c r="T637">
        <v>602.899952</v>
      </c>
      <c r="U637" s="2">
        <v>44435</v>
      </c>
      <c r="V637" t="s">
        <v>780</v>
      </c>
    </row>
    <row r="638" spans="1:22">
      <c r="A638" s="1" t="s">
        <v>658</v>
      </c>
      <c r="B638">
        <f>HYPERLINK("https://www.suredividend.com/sure-analysis-KREF/","KKR Real Estate Finance Trust Inc")</f>
        <v>0</v>
      </c>
      <c r="C638">
        <v>21.57</v>
      </c>
      <c r="D638">
        <v>21</v>
      </c>
      <c r="E638">
        <v>1.027142857142857</v>
      </c>
      <c r="F638">
        <v>0.07974038015762633</v>
      </c>
      <c r="G638">
        <v>-0.005341885648384781</v>
      </c>
      <c r="H638">
        <v>0.015</v>
      </c>
      <c r="I638">
        <v>0.07861787851692981</v>
      </c>
      <c r="J638" t="s">
        <v>763</v>
      </c>
      <c r="K638" t="s">
        <v>358</v>
      </c>
      <c r="L638">
        <v>2</v>
      </c>
      <c r="M638">
        <v>1.72</v>
      </c>
      <c r="N638">
        <v>0.86</v>
      </c>
      <c r="O638">
        <v>0</v>
      </c>
      <c r="P638">
        <v>0.01025271344829148</v>
      </c>
      <c r="Q638">
        <v>0.448710801861764</v>
      </c>
      <c r="R638" t="s">
        <v>767</v>
      </c>
      <c r="S638" t="s">
        <v>779</v>
      </c>
      <c r="T638">
        <v>1200.100444</v>
      </c>
      <c r="U638" s="2">
        <v>44404</v>
      </c>
      <c r="V638" t="s">
        <v>780</v>
      </c>
    </row>
    <row r="639" spans="1:22">
      <c r="A639" s="1" t="s">
        <v>659</v>
      </c>
      <c r="B639">
        <f>HYPERLINK("https://www.suredividend.com/sure-analysis-EIFZF/","Exchange Income Corp.")</f>
        <v>0</v>
      </c>
      <c r="C639">
        <v>34.9842</v>
      </c>
      <c r="D639">
        <v>29</v>
      </c>
      <c r="E639">
        <v>1.206351724137931</v>
      </c>
      <c r="F639">
        <v>0.05230932821102097</v>
      </c>
      <c r="G639">
        <v>-0.0368249810133825</v>
      </c>
      <c r="H639">
        <v>0.07000000000000001</v>
      </c>
      <c r="I639">
        <v>0.07826792699925988</v>
      </c>
      <c r="J639" t="s">
        <v>763</v>
      </c>
      <c r="K639" t="s">
        <v>498</v>
      </c>
      <c r="L639">
        <v>1.9</v>
      </c>
      <c r="M639">
        <v>1.83</v>
      </c>
      <c r="N639">
        <v>0.9631578947368422</v>
      </c>
      <c r="O639">
        <v>0</v>
      </c>
      <c r="P639">
        <v>0.04032911905890546</v>
      </c>
      <c r="Q639">
        <v>0.4995370767252461</v>
      </c>
      <c r="R639" t="s">
        <v>765</v>
      </c>
      <c r="S639" t="s">
        <v>772</v>
      </c>
      <c r="T639">
        <v>1329.289155</v>
      </c>
      <c r="U639" s="2">
        <v>44422</v>
      </c>
      <c r="V639" t="s">
        <v>780</v>
      </c>
    </row>
    <row r="640" spans="1:22">
      <c r="A640" s="1" t="s">
        <v>660</v>
      </c>
      <c r="B640">
        <f>HYPERLINK("https://www.suredividend.com/sure-analysis-NYMT/","New York Mortgage Trust Inc")</f>
        <v>0</v>
      </c>
      <c r="C640">
        <v>4.32</v>
      </c>
      <c r="D640">
        <v>4.05</v>
      </c>
      <c r="E640">
        <v>1.066666666666667</v>
      </c>
      <c r="F640">
        <v>0.09259259259259259</v>
      </c>
      <c r="G640">
        <v>-0.01282475708259012</v>
      </c>
      <c r="H640">
        <v>0.01</v>
      </c>
      <c r="I640">
        <v>0.07688864987538313</v>
      </c>
      <c r="J640" t="s">
        <v>763</v>
      </c>
      <c r="K640" t="s">
        <v>358</v>
      </c>
      <c r="L640">
        <v>0.45</v>
      </c>
      <c r="M640">
        <v>0.4</v>
      </c>
      <c r="N640">
        <v>0.888888888888889</v>
      </c>
      <c r="O640">
        <v>0</v>
      </c>
      <c r="P640">
        <v>0</v>
      </c>
      <c r="Q640">
        <v>0.9332946376746881</v>
      </c>
      <c r="R640" t="s">
        <v>765</v>
      </c>
      <c r="S640" t="s">
        <v>779</v>
      </c>
      <c r="T640">
        <v>1642.795405</v>
      </c>
      <c r="U640" s="2">
        <v>44435</v>
      </c>
      <c r="V640" t="s">
        <v>785</v>
      </c>
    </row>
    <row r="641" spans="1:22">
      <c r="A641" s="1" t="s">
        <v>661</v>
      </c>
      <c r="B641">
        <f>HYPERLINK("https://www.suredividend.com/sure-analysis-EXR/","Extra Space Storage Inc.")</f>
        <v>0</v>
      </c>
      <c r="C641">
        <v>174.5</v>
      </c>
      <c r="D641">
        <v>144</v>
      </c>
      <c r="E641">
        <v>1.211805555555556</v>
      </c>
      <c r="F641">
        <v>0.02865329512893983</v>
      </c>
      <c r="G641">
        <v>-0.03769351580205293</v>
      </c>
      <c r="H641">
        <v>0.09</v>
      </c>
      <c r="I641">
        <v>0.07654328117826803</v>
      </c>
      <c r="J641" t="s">
        <v>763</v>
      </c>
      <c r="K641" t="s">
        <v>498</v>
      </c>
      <c r="L641">
        <v>6.53</v>
      </c>
      <c r="M641">
        <v>5</v>
      </c>
      <c r="N641">
        <v>0.7656967840735068</v>
      </c>
      <c r="O641">
        <v>11</v>
      </c>
      <c r="P641">
        <v>0.06991580420882992</v>
      </c>
      <c r="Q641">
        <v>0.747367362293744</v>
      </c>
      <c r="R641" t="s">
        <v>767</v>
      </c>
      <c r="S641" t="s">
        <v>779</v>
      </c>
      <c r="T641">
        <v>23710.657458</v>
      </c>
      <c r="U641" s="2">
        <v>44416</v>
      </c>
      <c r="V641" t="s">
        <v>780</v>
      </c>
    </row>
    <row r="642" spans="1:22">
      <c r="A642" s="1" t="s">
        <v>662</v>
      </c>
      <c r="B642">
        <f>HYPERLINK("https://www.suredividend.com/sure-analysis-AQN/","Algonquin Power &amp; Utilities Corp")</f>
        <v>0</v>
      </c>
      <c r="C642">
        <v>15.13</v>
      </c>
      <c r="D642">
        <v>13</v>
      </c>
      <c r="E642">
        <v>1.163846153846154</v>
      </c>
      <c r="F642">
        <v>0.0449438202247191</v>
      </c>
      <c r="G642">
        <v>-0.02989021557332372</v>
      </c>
      <c r="H642">
        <v>0.065</v>
      </c>
      <c r="I642">
        <v>0.07596311623264729</v>
      </c>
      <c r="J642" t="s">
        <v>763</v>
      </c>
      <c r="K642" t="s">
        <v>498</v>
      </c>
      <c r="L642">
        <v>0.74</v>
      </c>
      <c r="M642">
        <v>0.68</v>
      </c>
      <c r="N642">
        <v>0.918918918918919</v>
      </c>
      <c r="O642">
        <v>9</v>
      </c>
      <c r="P642">
        <v>0.05530068195228077</v>
      </c>
      <c r="Q642">
        <v>0.137594394938713</v>
      </c>
      <c r="R642" t="s">
        <v>765</v>
      </c>
      <c r="S642" t="s">
        <v>776</v>
      </c>
      <c r="T642">
        <v>9405.139606999999</v>
      </c>
      <c r="U642" s="2">
        <v>44423</v>
      </c>
      <c r="V642" t="s">
        <v>789</v>
      </c>
    </row>
    <row r="643" spans="1:22">
      <c r="A643" s="1" t="s">
        <v>663</v>
      </c>
      <c r="B643">
        <f>HYPERLINK("https://www.suredividend.com/sure-analysis-VLO/","Valero Energy Corp.")</f>
        <v>0</v>
      </c>
      <c r="C643">
        <v>67.63</v>
      </c>
      <c r="D643">
        <v>64</v>
      </c>
      <c r="E643">
        <v>1.05671875</v>
      </c>
      <c r="F643">
        <v>0.05796244270294248</v>
      </c>
      <c r="G643">
        <v>-0.01097306944621035</v>
      </c>
      <c r="H643">
        <v>0.04</v>
      </c>
      <c r="I643">
        <v>0.07582729881417749</v>
      </c>
      <c r="J643" t="s">
        <v>763</v>
      </c>
      <c r="K643" t="s">
        <v>498</v>
      </c>
      <c r="L643">
        <v>0.5</v>
      </c>
      <c r="M643">
        <v>3.92</v>
      </c>
      <c r="N643">
        <v>7.84</v>
      </c>
      <c r="O643">
        <v>10</v>
      </c>
      <c r="P643">
        <v>0</v>
      </c>
      <c r="Q643">
        <v>0.6022804527509751</v>
      </c>
      <c r="R643" t="s">
        <v>765</v>
      </c>
      <c r="S643" t="s">
        <v>778</v>
      </c>
      <c r="T643">
        <v>27460.669793</v>
      </c>
      <c r="U643" s="2">
        <v>44427</v>
      </c>
      <c r="V643" t="s">
        <v>787</v>
      </c>
    </row>
    <row r="644" spans="1:22">
      <c r="A644" s="1" t="s">
        <v>664</v>
      </c>
      <c r="B644">
        <f>HYPERLINK("https://www.suredividend.com/sure-analysis-VOD/","Vodafone Group plc")</f>
        <v>0</v>
      </c>
      <c r="C644">
        <v>15.82</v>
      </c>
      <c r="D644">
        <v>15</v>
      </c>
      <c r="E644">
        <v>1.054666666666667</v>
      </c>
      <c r="F644">
        <v>0.06826801517067003</v>
      </c>
      <c r="G644">
        <v>-0.01058849524821792</v>
      </c>
      <c r="H644">
        <v>0.03</v>
      </c>
      <c r="I644">
        <v>0.07573223158848807</v>
      </c>
      <c r="J644" t="s">
        <v>763</v>
      </c>
      <c r="K644" t="s">
        <v>358</v>
      </c>
      <c r="L644">
        <v>1.1</v>
      </c>
      <c r="M644">
        <v>1.08</v>
      </c>
      <c r="N644">
        <v>0.9818181818181818</v>
      </c>
      <c r="O644">
        <v>0</v>
      </c>
      <c r="P644">
        <v>0</v>
      </c>
      <c r="Q644">
        <v>0.276436190157081</v>
      </c>
      <c r="R644" t="s">
        <v>765</v>
      </c>
      <c r="S644" t="s">
        <v>769</v>
      </c>
      <c r="T644">
        <v>44220.745728</v>
      </c>
      <c r="U644" s="2">
        <v>44429</v>
      </c>
      <c r="V644" t="s">
        <v>785</v>
      </c>
    </row>
    <row r="645" spans="1:22">
      <c r="A645" s="1" t="s">
        <v>665</v>
      </c>
      <c r="B645">
        <f>HYPERLINK("https://www.suredividend.com/sure-analysis-GNL/","Global Net Lease Inc")</f>
        <v>0</v>
      </c>
      <c r="C645">
        <v>16.36</v>
      </c>
      <c r="D645">
        <v>13</v>
      </c>
      <c r="E645">
        <v>1.258461538461539</v>
      </c>
      <c r="F645">
        <v>0.09779951100244499</v>
      </c>
      <c r="G645">
        <v>-0.04493702163385949</v>
      </c>
      <c r="H645">
        <v>0.029</v>
      </c>
      <c r="I645">
        <v>0.07459027380215932</v>
      </c>
      <c r="J645" t="s">
        <v>763</v>
      </c>
      <c r="K645" t="s">
        <v>358</v>
      </c>
      <c r="L645">
        <v>1.86</v>
      </c>
      <c r="M645">
        <v>1.6</v>
      </c>
      <c r="N645">
        <v>0.8602150537634409</v>
      </c>
      <c r="O645">
        <v>0</v>
      </c>
      <c r="P645">
        <v>0.01808400232019891</v>
      </c>
      <c r="Q645">
        <v>0.18618217040255</v>
      </c>
      <c r="R645" t="s">
        <v>767</v>
      </c>
      <c r="S645" t="s">
        <v>779</v>
      </c>
      <c r="T645">
        <v>1645.784697</v>
      </c>
      <c r="U645" s="2">
        <v>44421</v>
      </c>
      <c r="V645" t="s">
        <v>790</v>
      </c>
    </row>
    <row r="646" spans="1:22">
      <c r="A646" s="1" t="s">
        <v>666</v>
      </c>
      <c r="B646">
        <f>HYPERLINK("https://www.suredividend.com/sure-analysis-EPR/","EPR Properties")</f>
        <v>0</v>
      </c>
      <c r="C646">
        <v>51.505</v>
      </c>
      <c r="D646">
        <v>39</v>
      </c>
      <c r="E646">
        <v>1.320641025641026</v>
      </c>
      <c r="F646">
        <v>0.05824677215804291</v>
      </c>
      <c r="G646">
        <v>-0.05410475320951713</v>
      </c>
      <c r="H646">
        <v>0.08</v>
      </c>
      <c r="I646">
        <v>0.0743397879606793</v>
      </c>
      <c r="J646" t="s">
        <v>763</v>
      </c>
      <c r="K646" t="s">
        <v>498</v>
      </c>
      <c r="L646">
        <v>2.8</v>
      </c>
      <c r="M646">
        <v>3</v>
      </c>
      <c r="N646">
        <v>1.071428571428571</v>
      </c>
      <c r="O646">
        <v>0</v>
      </c>
      <c r="P646">
        <v>0.03012896281839894</v>
      </c>
      <c r="Q646">
        <v>0.9445982959158121</v>
      </c>
      <c r="R646" t="s">
        <v>767</v>
      </c>
      <c r="S646" t="s">
        <v>779</v>
      </c>
      <c r="T646">
        <v>3834.437559</v>
      </c>
      <c r="U646" s="2">
        <v>44428</v>
      </c>
      <c r="V646" t="s">
        <v>785</v>
      </c>
    </row>
    <row r="647" spans="1:22">
      <c r="A647" s="1" t="s">
        <v>667</v>
      </c>
      <c r="B647">
        <f>HYPERLINK("https://www.suredividend.com/sure-analysis-NSA/","National Storage Affiliates Trust")</f>
        <v>0</v>
      </c>
      <c r="C647">
        <v>55.46</v>
      </c>
      <c r="D647">
        <v>47</v>
      </c>
      <c r="E647">
        <v>1.18</v>
      </c>
      <c r="F647">
        <v>0.02957086188243779</v>
      </c>
      <c r="G647">
        <v>-0.03256098310273881</v>
      </c>
      <c r="H647">
        <v>0.08</v>
      </c>
      <c r="I647">
        <v>0.0737259549561744</v>
      </c>
      <c r="J647" t="s">
        <v>763</v>
      </c>
      <c r="K647" t="s">
        <v>498</v>
      </c>
      <c r="L647">
        <v>2.13</v>
      </c>
      <c r="M647">
        <v>1.64</v>
      </c>
      <c r="N647">
        <v>0.7699530516431925</v>
      </c>
      <c r="O647">
        <v>6</v>
      </c>
      <c r="P647">
        <v>0.06998280282640246</v>
      </c>
      <c r="Q647">
        <v>0.8217068086251441</v>
      </c>
      <c r="R647" t="s">
        <v>767</v>
      </c>
      <c r="S647" t="s">
        <v>779</v>
      </c>
      <c r="T647">
        <v>4981.278057</v>
      </c>
      <c r="U647" s="2">
        <v>44427</v>
      </c>
      <c r="V647" t="s">
        <v>780</v>
      </c>
    </row>
    <row r="648" spans="1:22">
      <c r="A648" s="1" t="s">
        <v>668</v>
      </c>
      <c r="B648">
        <f>HYPERLINK("https://www.suredividend.com/sure-analysis-NTST/","Netstreit Corp")</f>
        <v>0</v>
      </c>
      <c r="C648">
        <v>24</v>
      </c>
      <c r="D648">
        <v>21</v>
      </c>
      <c r="E648">
        <v>1.142857142857143</v>
      </c>
      <c r="F648">
        <v>0.03333333333333333</v>
      </c>
      <c r="G648">
        <v>-0.02635281938483192</v>
      </c>
      <c r="H648">
        <v>0.07000000000000001</v>
      </c>
      <c r="I648">
        <v>0.07272605920962572</v>
      </c>
      <c r="J648" t="s">
        <v>763</v>
      </c>
      <c r="K648" t="s">
        <v>498</v>
      </c>
      <c r="L648">
        <v>0.97</v>
      </c>
      <c r="M648">
        <v>0.8</v>
      </c>
      <c r="N648">
        <v>0.8247422680412372</v>
      </c>
      <c r="O648">
        <v>1</v>
      </c>
      <c r="P648">
        <v>0.04978904632428516</v>
      </c>
      <c r="Q648">
        <v>0.465706118336802</v>
      </c>
      <c r="R648" t="s">
        <v>767</v>
      </c>
      <c r="S648" t="s">
        <v>779</v>
      </c>
      <c r="T648">
        <v>955.9103229999999</v>
      </c>
      <c r="U648" s="2">
        <v>44430</v>
      </c>
      <c r="V648" t="s">
        <v>782</v>
      </c>
    </row>
    <row r="649" spans="1:22">
      <c r="A649" s="1" t="s">
        <v>669</v>
      </c>
      <c r="B649">
        <f>HYPERLINK("https://www.suredividend.com/sure-analysis-BRMK/","Broadmark Realty Capital Inc")</f>
        <v>0</v>
      </c>
      <c r="C649">
        <v>10.145</v>
      </c>
      <c r="D649">
        <v>8.800000000000001</v>
      </c>
      <c r="E649">
        <v>1.152840909090909</v>
      </c>
      <c r="F649">
        <v>0.08279940857565303</v>
      </c>
      <c r="G649">
        <v>-0.02804507626835584</v>
      </c>
      <c r="H649">
        <v>0.03</v>
      </c>
      <c r="I649">
        <v>0.07258522471520323</v>
      </c>
      <c r="J649" t="s">
        <v>763</v>
      </c>
      <c r="K649" t="s">
        <v>358</v>
      </c>
      <c r="L649">
        <v>0.88</v>
      </c>
      <c r="M649">
        <v>0.84</v>
      </c>
      <c r="N649">
        <v>0.9545454545454545</v>
      </c>
      <c r="O649">
        <v>1</v>
      </c>
      <c r="P649">
        <v>0</v>
      </c>
      <c r="Q649">
        <v>0.143845929122002</v>
      </c>
      <c r="R649" t="s">
        <v>767</v>
      </c>
      <c r="S649" t="s">
        <v>779</v>
      </c>
      <c r="T649">
        <v>1350.294898</v>
      </c>
      <c r="U649" s="2">
        <v>44418</v>
      </c>
      <c r="V649" t="s">
        <v>781</v>
      </c>
    </row>
    <row r="650" spans="1:22">
      <c r="A650" s="1" t="s">
        <v>670</v>
      </c>
      <c r="B650">
        <f>HYPERLINK("https://www.suredividend.com/sure-analysis-CSWC/","Capital Southwest Corp.")</f>
        <v>0</v>
      </c>
      <c r="C650">
        <v>25.73</v>
      </c>
      <c r="D650">
        <v>23</v>
      </c>
      <c r="E650">
        <v>1.118695652173913</v>
      </c>
      <c r="F650">
        <v>0.06840264282938205</v>
      </c>
      <c r="G650">
        <v>-0.02218294040466795</v>
      </c>
      <c r="H650">
        <v>0.03</v>
      </c>
      <c r="I650">
        <v>0.07117817749148547</v>
      </c>
      <c r="J650" t="s">
        <v>763</v>
      </c>
      <c r="K650" t="s">
        <v>358</v>
      </c>
      <c r="L650">
        <v>1.79</v>
      </c>
      <c r="M650">
        <v>1.76</v>
      </c>
      <c r="N650">
        <v>0.9832402234636871</v>
      </c>
      <c r="O650">
        <v>5</v>
      </c>
      <c r="P650">
        <v>0.02996744995959233</v>
      </c>
      <c r="Q650">
        <v>0.984351360850894</v>
      </c>
      <c r="R650" t="s">
        <v>768</v>
      </c>
      <c r="S650" t="s">
        <v>773</v>
      </c>
      <c r="T650">
        <v>576.532753</v>
      </c>
      <c r="U650" s="2">
        <v>44435</v>
      </c>
      <c r="V650" t="s">
        <v>780</v>
      </c>
    </row>
    <row r="651" spans="1:22">
      <c r="A651" s="1" t="s">
        <v>671</v>
      </c>
      <c r="B651">
        <f>HYPERLINK("https://www.suredividend.com/sure-analysis-NLY/","Annaly Capital Management Inc")</f>
        <v>0</v>
      </c>
      <c r="C651">
        <v>8.885</v>
      </c>
      <c r="D651">
        <v>7.8</v>
      </c>
      <c r="E651">
        <v>1.139102564102564</v>
      </c>
      <c r="F651">
        <v>0.09904333145751266</v>
      </c>
      <c r="G651">
        <v>-0.02571181919217636</v>
      </c>
      <c r="H651">
        <v>-0.002</v>
      </c>
      <c r="I651">
        <v>0.0702489732136653</v>
      </c>
      <c r="J651" t="s">
        <v>763</v>
      </c>
      <c r="K651" t="s">
        <v>358</v>
      </c>
      <c r="L651">
        <v>1.11</v>
      </c>
      <c r="M651">
        <v>0.88</v>
      </c>
      <c r="N651">
        <v>0.7927927927927927</v>
      </c>
      <c r="O651">
        <v>0</v>
      </c>
      <c r="P651">
        <v>0.02589630491023409</v>
      </c>
      <c r="Q651">
        <v>0.369990103908955</v>
      </c>
      <c r="R651" t="s">
        <v>767</v>
      </c>
      <c r="S651" t="s">
        <v>779</v>
      </c>
      <c r="T651">
        <v>12796.259462</v>
      </c>
      <c r="U651" s="2">
        <v>44415</v>
      </c>
      <c r="V651" t="s">
        <v>790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48.49</v>
      </c>
      <c r="D652">
        <v>44</v>
      </c>
      <c r="E652">
        <v>1.102045454545455</v>
      </c>
      <c r="F652">
        <v>0.03567745926995257</v>
      </c>
      <c r="G652">
        <v>-0.01924597651128579</v>
      </c>
      <c r="H652">
        <v>0.06</v>
      </c>
      <c r="I652">
        <v>0.07017321665510878</v>
      </c>
      <c r="J652" t="s">
        <v>763</v>
      </c>
      <c r="K652" t="s">
        <v>498</v>
      </c>
      <c r="L652">
        <v>2.24</v>
      </c>
      <c r="M652">
        <v>1.73</v>
      </c>
      <c r="N652">
        <v>0.7723214285714285</v>
      </c>
      <c r="O652">
        <v>5</v>
      </c>
      <c r="P652">
        <v>0.01999361422185175</v>
      </c>
      <c r="Q652">
        <v>0.14489706052036</v>
      </c>
      <c r="R652" t="s">
        <v>767</v>
      </c>
      <c r="S652" t="s">
        <v>779</v>
      </c>
      <c r="T652">
        <v>1201.11412</v>
      </c>
      <c r="U652" s="2">
        <v>44430</v>
      </c>
      <c r="V652" t="s">
        <v>782</v>
      </c>
    </row>
    <row r="653" spans="1:22">
      <c r="A653" s="1" t="s">
        <v>673</v>
      </c>
      <c r="B653">
        <f>HYPERLINK("https://www.suredividend.com/sure-analysis-ACRE/","Ares Commercial Real Estate Corp")</f>
        <v>0</v>
      </c>
      <c r="C653">
        <v>15.52</v>
      </c>
      <c r="D653">
        <v>15.1</v>
      </c>
      <c r="E653">
        <v>1.027814569536424</v>
      </c>
      <c r="F653">
        <v>0.08505154639175258</v>
      </c>
      <c r="G653">
        <v>-0.005471928348305233</v>
      </c>
      <c r="H653">
        <v>0</v>
      </c>
      <c r="I653">
        <v>0.06933456073848054</v>
      </c>
      <c r="J653" t="s">
        <v>763</v>
      </c>
      <c r="K653" t="s">
        <v>358</v>
      </c>
      <c r="L653">
        <v>1.48</v>
      </c>
      <c r="M653">
        <v>1.32</v>
      </c>
      <c r="N653">
        <v>0.891891891891892</v>
      </c>
      <c r="O653">
        <v>0</v>
      </c>
      <c r="P653">
        <v>0</v>
      </c>
      <c r="Q653">
        <v>0.834105402124073</v>
      </c>
      <c r="R653" t="s">
        <v>767</v>
      </c>
      <c r="S653" t="s">
        <v>779</v>
      </c>
      <c r="T653">
        <v>731.348335</v>
      </c>
      <c r="U653" s="2">
        <v>44430</v>
      </c>
      <c r="V653" t="s">
        <v>780</v>
      </c>
    </row>
    <row r="654" spans="1:22">
      <c r="A654" s="1" t="s">
        <v>674</v>
      </c>
      <c r="B654">
        <f>HYPERLINK("https://www.suredividend.com/sure-analysis-HTA/","Healthcare Trust of America Inc")</f>
        <v>0</v>
      </c>
      <c r="C654">
        <v>30.65</v>
      </c>
      <c r="D654">
        <v>31</v>
      </c>
      <c r="E654">
        <v>0.9887096774193548</v>
      </c>
      <c r="F654">
        <v>0.04208809135399674</v>
      </c>
      <c r="G654">
        <v>0.00227348888607648</v>
      </c>
      <c r="H654">
        <v>0.03</v>
      </c>
      <c r="I654">
        <v>0.06848385567414383</v>
      </c>
      <c r="J654" t="s">
        <v>763</v>
      </c>
      <c r="K654" t="s">
        <v>498</v>
      </c>
      <c r="L654">
        <v>1.77</v>
      </c>
      <c r="M654">
        <v>1.29</v>
      </c>
      <c r="N654">
        <v>0.728813559322034</v>
      </c>
      <c r="O654">
        <v>8</v>
      </c>
      <c r="P654">
        <v>0.01504434962783696</v>
      </c>
      <c r="Q654">
        <v>0.286499535278853</v>
      </c>
      <c r="R654" t="s">
        <v>767</v>
      </c>
      <c r="S654" t="s">
        <v>779</v>
      </c>
      <c r="T654">
        <v>6694.600454</v>
      </c>
      <c r="U654" s="2">
        <v>44432</v>
      </c>
      <c r="V654" t="s">
        <v>786</v>
      </c>
    </row>
    <row r="655" spans="1:22">
      <c r="A655" s="1" t="s">
        <v>675</v>
      </c>
      <c r="B655">
        <f>HYPERLINK("https://www.suredividend.com/sure-analysis-ILPT/","Industrial Logistics Properties Trust")</f>
        <v>0</v>
      </c>
      <c r="C655">
        <v>25.95</v>
      </c>
      <c r="D655">
        <v>25</v>
      </c>
      <c r="E655">
        <v>1.038</v>
      </c>
      <c r="F655">
        <v>0.05086705202312139</v>
      </c>
      <c r="G655">
        <v>-0.007431406478784486</v>
      </c>
      <c r="H655">
        <v>0.03</v>
      </c>
      <c r="I655">
        <v>0.06763764239121817</v>
      </c>
      <c r="J655" t="s">
        <v>763</v>
      </c>
      <c r="K655" t="s">
        <v>358</v>
      </c>
      <c r="L655">
        <v>1.89</v>
      </c>
      <c r="M655">
        <v>1.32</v>
      </c>
      <c r="N655">
        <v>0.6984126984126985</v>
      </c>
      <c r="O655">
        <v>0</v>
      </c>
      <c r="P655">
        <v>0.02036554426441151</v>
      </c>
      <c r="Q655">
        <v>0.319432471628652</v>
      </c>
      <c r="R655" t="s">
        <v>767</v>
      </c>
      <c r="S655" t="s">
        <v>779</v>
      </c>
      <c r="T655">
        <v>1699.479517</v>
      </c>
      <c r="U655" s="2">
        <v>44425</v>
      </c>
      <c r="V655" t="s">
        <v>780</v>
      </c>
    </row>
    <row r="656" spans="1:22">
      <c r="A656" s="1" t="s">
        <v>676</v>
      </c>
      <c r="B656">
        <f>HYPERLINK("https://www.suredividend.com/sure-analysis-PFLT/","PennantPark Floating Rate Capital Ltd")</f>
        <v>0</v>
      </c>
      <c r="C656">
        <v>12.83</v>
      </c>
      <c r="D656">
        <v>12</v>
      </c>
      <c r="E656">
        <v>1.069166666666667</v>
      </c>
      <c r="F656">
        <v>0.08885424785658612</v>
      </c>
      <c r="G656">
        <v>-0.01328684586818163</v>
      </c>
      <c r="H656">
        <v>0.001</v>
      </c>
      <c r="I656">
        <v>0.06719516378805768</v>
      </c>
      <c r="J656" t="s">
        <v>763</v>
      </c>
      <c r="K656" t="s">
        <v>762</v>
      </c>
      <c r="L656">
        <v>1.62</v>
      </c>
      <c r="M656">
        <v>1.14</v>
      </c>
      <c r="N656">
        <v>0.7037037037037036</v>
      </c>
      <c r="O656">
        <v>0</v>
      </c>
      <c r="P656">
        <v>0</v>
      </c>
      <c r="Q656">
        <v>0.751631488408923</v>
      </c>
      <c r="R656" t="s">
        <v>768</v>
      </c>
      <c r="S656" t="s">
        <v>773</v>
      </c>
      <c r="T656">
        <v>497.445709</v>
      </c>
      <c r="U656" s="2">
        <v>44420</v>
      </c>
      <c r="V656" t="s">
        <v>790</v>
      </c>
    </row>
    <row r="657" spans="1:22">
      <c r="A657" s="1" t="s">
        <v>677</v>
      </c>
      <c r="B657">
        <f>HYPERLINK("https://www.suredividend.com/sure-analysis-TSLX/","Sixth Street Specialty Lending Inc")</f>
        <v>0</v>
      </c>
      <c r="C657">
        <v>22.27</v>
      </c>
      <c r="D657">
        <v>20</v>
      </c>
      <c r="E657">
        <v>1.1135</v>
      </c>
      <c r="F657">
        <v>0.07364167040862146</v>
      </c>
      <c r="G657">
        <v>-0.02127212915611221</v>
      </c>
      <c r="H657">
        <v>0.02</v>
      </c>
      <c r="I657">
        <v>0.06689955781242163</v>
      </c>
      <c r="J657" t="s">
        <v>763</v>
      </c>
      <c r="K657" t="s">
        <v>358</v>
      </c>
      <c r="L657">
        <v>1.95</v>
      </c>
      <c r="M657">
        <v>1.64</v>
      </c>
      <c r="N657">
        <v>0.841025641025641</v>
      </c>
      <c r="O657">
        <v>6</v>
      </c>
      <c r="P657">
        <v>0.01992196624507558</v>
      </c>
      <c r="Q657">
        <v>0.545079265965934</v>
      </c>
      <c r="R657" t="s">
        <v>768</v>
      </c>
      <c r="S657" t="s">
        <v>773</v>
      </c>
      <c r="T657">
        <v>1622.082774</v>
      </c>
      <c r="U657" s="2">
        <v>44417</v>
      </c>
      <c r="V657" t="s">
        <v>780</v>
      </c>
    </row>
    <row r="658" spans="1:22">
      <c r="A658" s="1" t="s">
        <v>678</v>
      </c>
      <c r="B658">
        <f>HYPERLINK("https://www.suredividend.com/sure-analysis-ADC/","Agree Realty Corp.")</f>
        <v>0</v>
      </c>
      <c r="C658">
        <v>67.98</v>
      </c>
      <c r="D658">
        <v>62</v>
      </c>
      <c r="E658">
        <v>1.096451612903226</v>
      </c>
      <c r="F658">
        <v>0.03706972639011474</v>
      </c>
      <c r="G658">
        <v>-0.01824729657148527</v>
      </c>
      <c r="H658">
        <v>0.05</v>
      </c>
      <c r="I658">
        <v>0.06641959351323279</v>
      </c>
      <c r="J658" t="s">
        <v>763</v>
      </c>
      <c r="K658" t="s">
        <v>498</v>
      </c>
      <c r="L658">
        <v>3.47</v>
      </c>
      <c r="M658">
        <v>2.52</v>
      </c>
      <c r="N658">
        <v>0.7262247838616714</v>
      </c>
      <c r="O658">
        <v>10</v>
      </c>
      <c r="P658">
        <v>0.05024607263868264</v>
      </c>
      <c r="Q658">
        <v>0.147809634354782</v>
      </c>
      <c r="R658" t="s">
        <v>767</v>
      </c>
      <c r="S658" t="s">
        <v>779</v>
      </c>
      <c r="T658">
        <v>4716.35381</v>
      </c>
      <c r="U658" s="2">
        <v>44425</v>
      </c>
      <c r="V658" t="s">
        <v>786</v>
      </c>
    </row>
    <row r="659" spans="1:22">
      <c r="A659" s="1" t="s">
        <v>679</v>
      </c>
      <c r="B659">
        <f>HYPERLINK("https://www.suredividend.com/sure-analysis-APTS/","Preferred Apartment Communities Inc")</f>
        <v>0</v>
      </c>
      <c r="C659">
        <v>12.25</v>
      </c>
      <c r="D659">
        <v>11.6</v>
      </c>
      <c r="E659">
        <v>1.056034482758621</v>
      </c>
      <c r="F659">
        <v>0.05714285714285714</v>
      </c>
      <c r="G659">
        <v>-0.0108449328363146</v>
      </c>
      <c r="H659">
        <v>0.02</v>
      </c>
      <c r="I659">
        <v>0.06631272045503467</v>
      </c>
      <c r="J659" t="s">
        <v>763</v>
      </c>
      <c r="K659" t="s">
        <v>358</v>
      </c>
      <c r="L659">
        <v>0.98</v>
      </c>
      <c r="M659">
        <v>0.7</v>
      </c>
      <c r="N659">
        <v>0.7142857142857143</v>
      </c>
      <c r="O659">
        <v>0</v>
      </c>
      <c r="P659">
        <v>0.05154749679728043</v>
      </c>
      <c r="Q659">
        <v>1.594085737805263</v>
      </c>
      <c r="R659" t="s">
        <v>767</v>
      </c>
      <c r="S659" t="s">
        <v>779</v>
      </c>
      <c r="T659">
        <v>644.213435</v>
      </c>
      <c r="U659" s="2">
        <v>44447</v>
      </c>
      <c r="V659" t="s">
        <v>787</v>
      </c>
    </row>
    <row r="660" spans="1:22">
      <c r="A660" s="1" t="s">
        <v>680</v>
      </c>
      <c r="B660">
        <f>HYPERLINK("https://www.suredividend.com/sure-analysis-GBDC/","Golub Capital BDC Inc")</f>
        <v>0</v>
      </c>
      <c r="C660">
        <v>15.54</v>
      </c>
      <c r="D660">
        <v>15.6</v>
      </c>
      <c r="E660">
        <v>0.9961538461538462</v>
      </c>
      <c r="F660">
        <v>0.07464607464607464</v>
      </c>
      <c r="G660">
        <v>0.0007710109394427622</v>
      </c>
      <c r="H660">
        <v>0</v>
      </c>
      <c r="I660">
        <v>0.06608676492332921</v>
      </c>
      <c r="J660" t="s">
        <v>763</v>
      </c>
      <c r="K660" t="s">
        <v>358</v>
      </c>
      <c r="L660">
        <v>1.2</v>
      </c>
      <c r="M660">
        <v>1.16</v>
      </c>
      <c r="N660">
        <v>0.9666666666666667</v>
      </c>
      <c r="O660">
        <v>0</v>
      </c>
      <c r="P660">
        <v>0</v>
      </c>
      <c r="Q660">
        <v>0.294992694913003</v>
      </c>
      <c r="R660" t="s">
        <v>768</v>
      </c>
      <c r="S660" t="s">
        <v>773</v>
      </c>
      <c r="T660">
        <v>2638.768969</v>
      </c>
      <c r="U660" s="2">
        <v>44418</v>
      </c>
      <c r="V660" t="s">
        <v>780</v>
      </c>
    </row>
    <row r="661" spans="1:22">
      <c r="A661" s="1" t="s">
        <v>681</v>
      </c>
      <c r="B661">
        <f>HYPERLINK("https://www.suredividend.com/sure-analysis-EPRT/","Essential Properties Realty Trust Inc")</f>
        <v>0</v>
      </c>
      <c r="C661">
        <v>28.78</v>
      </c>
      <c r="D661">
        <v>24</v>
      </c>
      <c r="E661">
        <v>1.199166666666667</v>
      </c>
      <c r="F661">
        <v>0.03474635163307853</v>
      </c>
      <c r="G661">
        <v>-0.035673524545208</v>
      </c>
      <c r="H661">
        <v>0.07000000000000001</v>
      </c>
      <c r="I661">
        <v>0.06522963097369106</v>
      </c>
      <c r="J661" t="s">
        <v>763</v>
      </c>
      <c r="K661" t="s">
        <v>498</v>
      </c>
      <c r="L661">
        <v>1.31</v>
      </c>
      <c r="M661">
        <v>1</v>
      </c>
      <c r="N661">
        <v>0.7633587786259541</v>
      </c>
      <c r="O661">
        <v>2</v>
      </c>
      <c r="P661">
        <v>0.05061112176150684</v>
      </c>
      <c r="Q661">
        <v>0.6455839809404951</v>
      </c>
      <c r="R661" t="s">
        <v>767</v>
      </c>
      <c r="S661" t="s">
        <v>779</v>
      </c>
      <c r="T661">
        <v>3430.616075</v>
      </c>
      <c r="U661" s="2">
        <v>44414</v>
      </c>
      <c r="V661" t="s">
        <v>782</v>
      </c>
    </row>
    <row r="662" spans="1:22">
      <c r="A662" s="1" t="s">
        <v>682</v>
      </c>
      <c r="B662">
        <f>HYPERLINK("https://www.suredividend.com/sure-analysis-TPVG/","TriplePoint Venture Growth BDC Corp")</f>
        <v>0</v>
      </c>
      <c r="C662">
        <v>15.97</v>
      </c>
      <c r="D662">
        <v>13.3</v>
      </c>
      <c r="E662">
        <v>1.200751879699248</v>
      </c>
      <c r="F662">
        <v>0.09016906700062617</v>
      </c>
      <c r="G662">
        <v>-0.0359282767231982</v>
      </c>
      <c r="H662">
        <v>0.02</v>
      </c>
      <c r="I662">
        <v>0.06503884548472838</v>
      </c>
      <c r="J662" t="s">
        <v>763</v>
      </c>
      <c r="K662" t="s">
        <v>358</v>
      </c>
      <c r="L662">
        <v>1.33</v>
      </c>
      <c r="M662">
        <v>1.44</v>
      </c>
      <c r="N662">
        <v>1.082706766917293</v>
      </c>
      <c r="O662">
        <v>0</v>
      </c>
      <c r="P662">
        <v>0</v>
      </c>
      <c r="Q662">
        <v>0.6196299145645221</v>
      </c>
      <c r="R662" t="s">
        <v>768</v>
      </c>
      <c r="S662" t="s">
        <v>773</v>
      </c>
      <c r="T662">
        <v>495.19624</v>
      </c>
      <c r="U662" s="2">
        <v>44413</v>
      </c>
      <c r="V662" t="s">
        <v>780</v>
      </c>
    </row>
    <row r="663" spans="1:22">
      <c r="A663" s="1" t="s">
        <v>683</v>
      </c>
      <c r="B663">
        <f>HYPERLINK("https://www.suredividend.com/sure-analysis-DRI/","Darden Restaurants, Inc.")</f>
        <v>0</v>
      </c>
      <c r="C663">
        <v>160.36</v>
      </c>
      <c r="D663">
        <v>130</v>
      </c>
      <c r="E663">
        <v>1.233538461538462</v>
      </c>
      <c r="F663">
        <v>0.02743826390621102</v>
      </c>
      <c r="G663">
        <v>-0.04110851752685896</v>
      </c>
      <c r="H663">
        <v>0.08</v>
      </c>
      <c r="I663">
        <v>0.06422048878432696</v>
      </c>
      <c r="J663" t="s">
        <v>763</v>
      </c>
      <c r="K663" t="s">
        <v>763</v>
      </c>
      <c r="L663">
        <v>6.5</v>
      </c>
      <c r="M663">
        <v>4.4</v>
      </c>
      <c r="N663">
        <v>0.676923076923077</v>
      </c>
      <c r="O663">
        <v>1</v>
      </c>
      <c r="P663">
        <v>0.08016554685867416</v>
      </c>
      <c r="Q663">
        <v>0.793765344003706</v>
      </c>
      <c r="R663" t="s">
        <v>765</v>
      </c>
      <c r="S663" t="s">
        <v>775</v>
      </c>
      <c r="T663">
        <v>20786.116082</v>
      </c>
      <c r="U663" s="2">
        <v>44377</v>
      </c>
      <c r="V663" t="s">
        <v>786</v>
      </c>
    </row>
    <row r="664" spans="1:22">
      <c r="A664" s="1" t="s">
        <v>684</v>
      </c>
      <c r="B664">
        <f>HYPERLINK("https://www.suredividend.com/sure-analysis-EIC/","Eagle Point Income Company Inc")</f>
        <v>0</v>
      </c>
      <c r="C664">
        <v>17.4</v>
      </c>
      <c r="D664">
        <v>14.56</v>
      </c>
      <c r="E664">
        <v>1.195054945054945</v>
      </c>
      <c r="F664">
        <v>0.08275862068965517</v>
      </c>
      <c r="G664">
        <v>-0.03501086105946327</v>
      </c>
      <c r="H664">
        <v>0.02</v>
      </c>
      <c r="I664">
        <v>0.06392534292327579</v>
      </c>
      <c r="J664" t="s">
        <v>763</v>
      </c>
      <c r="K664" t="s">
        <v>358</v>
      </c>
      <c r="L664">
        <v>1.12</v>
      </c>
      <c r="M664">
        <v>1.44</v>
      </c>
      <c r="N664">
        <v>1.285714285714286</v>
      </c>
      <c r="O664">
        <v>1</v>
      </c>
      <c r="P664">
        <v>0.02001586442069092</v>
      </c>
      <c r="Q664">
        <v>0.373466508302178</v>
      </c>
      <c r="R664" t="s">
        <v>765</v>
      </c>
      <c r="S664" t="s">
        <v>773</v>
      </c>
      <c r="T664">
        <v>105.214271</v>
      </c>
      <c r="U664" s="2">
        <v>44428</v>
      </c>
      <c r="V664" t="s">
        <v>780</v>
      </c>
    </row>
    <row r="665" spans="1:22">
      <c r="A665" s="1" t="s">
        <v>685</v>
      </c>
      <c r="B665">
        <f>HYPERLINK("https://www.suredividend.com/sure-analysis-LWSCF/","Sienna Senior Living, Inc.")</f>
        <v>0</v>
      </c>
      <c r="C665">
        <v>11.925</v>
      </c>
      <c r="D665">
        <v>12.5</v>
      </c>
      <c r="E665">
        <v>0.9540000000000001</v>
      </c>
      <c r="F665">
        <v>0.06289308176100629</v>
      </c>
      <c r="G665">
        <v>0.009462813466936337</v>
      </c>
      <c r="H665">
        <v>0</v>
      </c>
      <c r="I665">
        <v>0.06384656468780703</v>
      </c>
      <c r="J665" t="s">
        <v>763</v>
      </c>
      <c r="K665" t="s">
        <v>358</v>
      </c>
      <c r="L665">
        <v>1</v>
      </c>
      <c r="M665">
        <v>0.75</v>
      </c>
      <c r="N665">
        <v>0.75</v>
      </c>
      <c r="O665">
        <v>0</v>
      </c>
      <c r="P665">
        <v>0</v>
      </c>
      <c r="Q665">
        <v>0.424731182795699</v>
      </c>
      <c r="R665" t="s">
        <v>765</v>
      </c>
      <c r="S665" t="s">
        <v>770</v>
      </c>
      <c r="T665">
        <v>799.441542</v>
      </c>
      <c r="U665" s="2">
        <v>44422</v>
      </c>
      <c r="V665" t="s">
        <v>780</v>
      </c>
    </row>
    <row r="666" spans="1:22">
      <c r="A666" s="1" t="s">
        <v>686</v>
      </c>
      <c r="B666">
        <f>HYPERLINK("https://www.suredividend.com/sure-analysis-STWD/","Starwood Property Trust Inc")</f>
        <v>0</v>
      </c>
      <c r="C666">
        <v>25.42</v>
      </c>
      <c r="D666">
        <v>25</v>
      </c>
      <c r="E666">
        <v>1.0168</v>
      </c>
      <c r="F666">
        <v>0.07553107789142406</v>
      </c>
      <c r="G666">
        <v>-0.00332654293359802</v>
      </c>
      <c r="H666">
        <v>0</v>
      </c>
      <c r="I666">
        <v>0.06360436382546886</v>
      </c>
      <c r="J666" t="s">
        <v>763</v>
      </c>
      <c r="K666" t="s">
        <v>358</v>
      </c>
      <c r="L666">
        <v>2</v>
      </c>
      <c r="M666">
        <v>1.92</v>
      </c>
      <c r="N666">
        <v>0.96</v>
      </c>
      <c r="O666">
        <v>0</v>
      </c>
      <c r="P666">
        <v>0</v>
      </c>
      <c r="Q666">
        <v>0.859383228977705</v>
      </c>
      <c r="R666" t="s">
        <v>767</v>
      </c>
      <c r="S666" t="s">
        <v>779</v>
      </c>
      <c r="T666">
        <v>7328.02887</v>
      </c>
      <c r="U666" s="2">
        <v>44418</v>
      </c>
      <c r="V666" t="s">
        <v>780</v>
      </c>
    </row>
    <row r="667" spans="1:22">
      <c r="A667" s="1" t="s">
        <v>687</v>
      </c>
      <c r="B667">
        <f>HYPERLINK("https://www.suredividend.com/sure-analysis-FDUS/","Fidus Investment Corp")</f>
        <v>0</v>
      </c>
      <c r="C667">
        <v>17.83</v>
      </c>
      <c r="D667">
        <v>17.85</v>
      </c>
      <c r="E667">
        <v>0.9988795518207281</v>
      </c>
      <c r="F667">
        <v>0.07178911946158162</v>
      </c>
      <c r="G667">
        <v>0.0002242404082422045</v>
      </c>
      <c r="H667">
        <v>0</v>
      </c>
      <c r="I667">
        <v>0.06343776733609885</v>
      </c>
      <c r="J667" t="s">
        <v>763</v>
      </c>
      <c r="K667" t="s">
        <v>358</v>
      </c>
      <c r="L667">
        <v>1.7</v>
      </c>
      <c r="M667">
        <v>1.28</v>
      </c>
      <c r="N667">
        <v>0.7529411764705882</v>
      </c>
      <c r="O667">
        <v>0</v>
      </c>
      <c r="P667">
        <v>0</v>
      </c>
      <c r="Q667">
        <v>0.941405648125729</v>
      </c>
      <c r="R667" t="s">
        <v>768</v>
      </c>
      <c r="S667" t="s">
        <v>773</v>
      </c>
      <c r="T667">
        <v>431.075736</v>
      </c>
      <c r="U667" s="2">
        <v>44420</v>
      </c>
      <c r="V667" t="s">
        <v>780</v>
      </c>
    </row>
    <row r="668" spans="1:22">
      <c r="A668" s="1" t="s">
        <v>688</v>
      </c>
      <c r="B668">
        <f>HYPERLINK("https://www.suredividend.com/sure-analysis-IRT/","Independence Realty Trust Inc")</f>
        <v>0</v>
      </c>
      <c r="C668">
        <v>20.87</v>
      </c>
      <c r="D668">
        <v>20</v>
      </c>
      <c r="E668">
        <v>1.0435</v>
      </c>
      <c r="F668">
        <v>0.02299952084331576</v>
      </c>
      <c r="G668">
        <v>-0.008479930334497454</v>
      </c>
      <c r="H668">
        <v>0.046</v>
      </c>
      <c r="I668">
        <v>0.06308853149750249</v>
      </c>
      <c r="J668" t="s">
        <v>763</v>
      </c>
      <c r="K668" t="s">
        <v>763</v>
      </c>
      <c r="L668">
        <v>0.78</v>
      </c>
      <c r="M668">
        <v>0.48</v>
      </c>
      <c r="N668">
        <v>0.6153846153846153</v>
      </c>
      <c r="O668">
        <v>0</v>
      </c>
      <c r="P668">
        <v>0.1075663432482901</v>
      </c>
      <c r="Q668">
        <v>0.9792416379408311</v>
      </c>
      <c r="R668" t="s">
        <v>767</v>
      </c>
      <c r="S668" t="s">
        <v>779</v>
      </c>
      <c r="T668">
        <v>2196.888995</v>
      </c>
      <c r="U668" s="2">
        <v>44452</v>
      </c>
      <c r="V668" t="s">
        <v>790</v>
      </c>
    </row>
    <row r="669" spans="1:22">
      <c r="A669" s="1" t="s">
        <v>689</v>
      </c>
      <c r="B669">
        <f>HYPERLINK("https://www.suredividend.com/sure-analysis-HRZN/","Horizon Technology Finance Corp")</f>
        <v>0</v>
      </c>
      <c r="C669">
        <v>16.6</v>
      </c>
      <c r="D669">
        <v>14.95</v>
      </c>
      <c r="E669">
        <v>1.110367892976589</v>
      </c>
      <c r="F669">
        <v>0.07228915662650602</v>
      </c>
      <c r="G669">
        <v>-0.0207205952946129</v>
      </c>
      <c r="H669">
        <v>0.02</v>
      </c>
      <c r="I669">
        <v>0.06276703803629191</v>
      </c>
      <c r="J669" t="s">
        <v>763</v>
      </c>
      <c r="K669" t="s">
        <v>358</v>
      </c>
      <c r="L669">
        <v>1.3</v>
      </c>
      <c r="M669">
        <v>1.2</v>
      </c>
      <c r="N669">
        <v>0.923076923076923</v>
      </c>
      <c r="O669">
        <v>0</v>
      </c>
      <c r="P669">
        <v>0</v>
      </c>
      <c r="Q669">
        <v>0.499461893952411</v>
      </c>
      <c r="R669" t="s">
        <v>768</v>
      </c>
      <c r="S669" t="s">
        <v>773</v>
      </c>
      <c r="T669">
        <v>331.770492</v>
      </c>
      <c r="U669" s="2">
        <v>44409</v>
      </c>
      <c r="V669" t="s">
        <v>780</v>
      </c>
    </row>
    <row r="670" spans="1:22">
      <c r="A670" s="1" t="s">
        <v>690</v>
      </c>
      <c r="B670">
        <f>HYPERLINK("https://www.suredividend.com/sure-analysis-BGS/","B&amp;G Foods, Inc")</f>
        <v>0</v>
      </c>
      <c r="C670">
        <v>30.22</v>
      </c>
      <c r="D670">
        <v>27</v>
      </c>
      <c r="E670">
        <v>1.119259259259259</v>
      </c>
      <c r="F670">
        <v>0.0628722700198544</v>
      </c>
      <c r="G670">
        <v>-0.02228143691586459</v>
      </c>
      <c r="H670">
        <v>0.03</v>
      </c>
      <c r="I670">
        <v>0.06187645718408086</v>
      </c>
      <c r="J670" t="s">
        <v>763</v>
      </c>
      <c r="K670" t="s">
        <v>358</v>
      </c>
      <c r="L670">
        <v>2.1</v>
      </c>
      <c r="M670">
        <v>1.9</v>
      </c>
      <c r="N670">
        <v>0.9047619047619047</v>
      </c>
      <c r="O670">
        <v>0</v>
      </c>
      <c r="P670">
        <v>0</v>
      </c>
      <c r="Q670">
        <v>0.18183280184198</v>
      </c>
      <c r="R670" t="s">
        <v>765</v>
      </c>
      <c r="S670" t="s">
        <v>774</v>
      </c>
      <c r="T670">
        <v>1953.1796</v>
      </c>
      <c r="U670" s="2">
        <v>44417</v>
      </c>
      <c r="V670" t="s">
        <v>784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44.42</v>
      </c>
      <c r="D671">
        <v>42</v>
      </c>
      <c r="E671">
        <v>1.057619047619048</v>
      </c>
      <c r="F671">
        <v>0.04772624943719046</v>
      </c>
      <c r="G671">
        <v>-0.01114150853305007</v>
      </c>
      <c r="H671">
        <v>0.03</v>
      </c>
      <c r="I671">
        <v>0.06176604062780999</v>
      </c>
      <c r="J671" t="s">
        <v>763</v>
      </c>
      <c r="K671" t="s">
        <v>358</v>
      </c>
      <c r="L671">
        <v>2.78</v>
      </c>
      <c r="M671">
        <v>2.12</v>
      </c>
      <c r="N671">
        <v>0.7625899280575541</v>
      </c>
      <c r="O671">
        <v>0</v>
      </c>
      <c r="P671">
        <v>0.01994322923769842</v>
      </c>
      <c r="Q671">
        <v>0.417492446041987</v>
      </c>
      <c r="R671" t="s">
        <v>765</v>
      </c>
      <c r="S671" t="s">
        <v>769</v>
      </c>
      <c r="T671">
        <v>8294.580735</v>
      </c>
      <c r="U671" s="2">
        <v>44411</v>
      </c>
      <c r="V671" t="s">
        <v>780</v>
      </c>
    </row>
    <row r="672" spans="1:22">
      <c r="A672" s="1" t="s">
        <v>692</v>
      </c>
      <c r="B672">
        <f>HYPERLINK("https://www.suredividend.com/sure-analysis-ARCC/","Ares Capital Corp")</f>
        <v>0</v>
      </c>
      <c r="C672">
        <v>20.25</v>
      </c>
      <c r="D672">
        <v>16</v>
      </c>
      <c r="E672">
        <v>1.265625</v>
      </c>
      <c r="F672">
        <v>0.08098765432098765</v>
      </c>
      <c r="G672">
        <v>-0.04602061259649637</v>
      </c>
      <c r="H672">
        <v>0.028</v>
      </c>
      <c r="I672">
        <v>0.0600190653562418</v>
      </c>
      <c r="J672" t="s">
        <v>763</v>
      </c>
      <c r="K672" t="s">
        <v>358</v>
      </c>
      <c r="L672">
        <v>1.74</v>
      </c>
      <c r="M672">
        <v>1.64</v>
      </c>
      <c r="N672">
        <v>0.9425287356321839</v>
      </c>
      <c r="O672">
        <v>3</v>
      </c>
      <c r="P672">
        <v>0.02104646949148603</v>
      </c>
      <c r="Q672">
        <v>0.6390380195092631</v>
      </c>
      <c r="R672" t="s">
        <v>768</v>
      </c>
      <c r="S672" t="s">
        <v>773</v>
      </c>
      <c r="T672">
        <v>8997.571945</v>
      </c>
      <c r="U672" s="2">
        <v>44411</v>
      </c>
      <c r="V672" t="s">
        <v>790</v>
      </c>
    </row>
    <row r="673" spans="1:22">
      <c r="A673" s="1" t="s">
        <v>693</v>
      </c>
      <c r="B673">
        <f>HYPERLINK("https://www.suredividend.com/sure-analysis-NMFC/","New Mountain Finance Corp")</f>
        <v>0</v>
      </c>
      <c r="C673">
        <v>13.33</v>
      </c>
      <c r="D673">
        <v>12.2</v>
      </c>
      <c r="E673">
        <v>1.092622950819672</v>
      </c>
      <c r="F673">
        <v>0.0900225056264066</v>
      </c>
      <c r="G673">
        <v>-0.01756022663365531</v>
      </c>
      <c r="H673">
        <v>-0.005</v>
      </c>
      <c r="I673">
        <v>0.05963351807929063</v>
      </c>
      <c r="J673" t="s">
        <v>763</v>
      </c>
      <c r="K673" t="s">
        <v>358</v>
      </c>
      <c r="L673">
        <v>1.25</v>
      </c>
      <c r="M673">
        <v>1.2</v>
      </c>
      <c r="N673">
        <v>0.96</v>
      </c>
      <c r="O673">
        <v>0</v>
      </c>
      <c r="P673">
        <v>-0.005050763379468082</v>
      </c>
      <c r="Q673">
        <v>0.56622403813415</v>
      </c>
      <c r="R673" t="s">
        <v>768</v>
      </c>
      <c r="S673" t="s">
        <v>773</v>
      </c>
      <c r="T673">
        <v>1292.73922</v>
      </c>
      <c r="U673" s="2">
        <v>44413</v>
      </c>
      <c r="V673" t="s">
        <v>780</v>
      </c>
    </row>
    <row r="674" spans="1:22">
      <c r="A674" s="1" t="s">
        <v>694</v>
      </c>
      <c r="B674">
        <f>HYPERLINK("https://www.suredividend.com/sure-analysis-E/","Eni Spa")</f>
        <v>0</v>
      </c>
      <c r="C674">
        <v>25.7</v>
      </c>
      <c r="D674">
        <v>21</v>
      </c>
      <c r="E674">
        <v>1.223809523809524</v>
      </c>
      <c r="F674">
        <v>0.06225680933852141</v>
      </c>
      <c r="G674">
        <v>-0.03958875960519359</v>
      </c>
      <c r="H674">
        <v>0.04</v>
      </c>
      <c r="I674">
        <v>0.05933838174519246</v>
      </c>
      <c r="J674" t="s">
        <v>763</v>
      </c>
      <c r="K674" t="s">
        <v>358</v>
      </c>
      <c r="L674">
        <v>1.7</v>
      </c>
      <c r="M674">
        <v>1.6</v>
      </c>
      <c r="N674">
        <v>0.9411764705882354</v>
      </c>
      <c r="O674">
        <v>1</v>
      </c>
      <c r="P674">
        <v>0.02946206823925857</v>
      </c>
      <c r="Q674">
        <v>0.7275025650998881</v>
      </c>
      <c r="R674" t="s">
        <v>765</v>
      </c>
      <c r="S674" t="s">
        <v>778</v>
      </c>
      <c r="T674">
        <v>46440.061642</v>
      </c>
      <c r="U674" s="2">
        <v>44432</v>
      </c>
      <c r="V674" t="s">
        <v>787</v>
      </c>
    </row>
    <row r="675" spans="1:22">
      <c r="A675" s="1" t="s">
        <v>695</v>
      </c>
      <c r="B675">
        <f>HYPERLINK("https://www.suredividend.com/sure-analysis-OXSQ/","Oxford Square Capital Corp")</f>
        <v>0</v>
      </c>
      <c r="C675">
        <v>4.04</v>
      </c>
      <c r="D675">
        <v>3.6</v>
      </c>
      <c r="E675">
        <v>1.122222222222222</v>
      </c>
      <c r="F675">
        <v>0.103960396039604</v>
      </c>
      <c r="G675">
        <v>-0.02279827006487278</v>
      </c>
      <c r="H675">
        <v>0</v>
      </c>
      <c r="I675">
        <v>0.05804108382291462</v>
      </c>
      <c r="J675" t="s">
        <v>763</v>
      </c>
      <c r="K675" t="s">
        <v>358</v>
      </c>
      <c r="L675">
        <v>0.36</v>
      </c>
      <c r="M675">
        <v>0.42</v>
      </c>
      <c r="N675">
        <v>1.166666666666667</v>
      </c>
      <c r="O675">
        <v>0</v>
      </c>
      <c r="P675">
        <v>-0.05892880441130122</v>
      </c>
      <c r="Q675">
        <v>0.8741881610688431</v>
      </c>
      <c r="R675" t="s">
        <v>768</v>
      </c>
      <c r="S675" t="s">
        <v>773</v>
      </c>
      <c r="T675">
        <v>200.482665</v>
      </c>
      <c r="U675" s="2">
        <v>44405</v>
      </c>
      <c r="V675" t="s">
        <v>780</v>
      </c>
    </row>
    <row r="676" spans="1:22">
      <c r="A676" s="1" t="s">
        <v>696</v>
      </c>
      <c r="B676">
        <f>HYPERLINK("https://www.suredividend.com/sure-analysis-ABEV/","Ambev S.A.")</f>
        <v>0</v>
      </c>
      <c r="C676">
        <v>2.905</v>
      </c>
      <c r="D676">
        <v>2.95</v>
      </c>
      <c r="E676">
        <v>0.9847457627118644</v>
      </c>
      <c r="F676">
        <v>0.02753872633390705</v>
      </c>
      <c r="G676">
        <v>0.003079086688695831</v>
      </c>
      <c r="H676">
        <v>0.03</v>
      </c>
      <c r="I676">
        <v>0.0579109174688095</v>
      </c>
      <c r="J676" t="s">
        <v>763</v>
      </c>
      <c r="K676" t="s">
        <v>498</v>
      </c>
      <c r="L676">
        <v>0.13</v>
      </c>
      <c r="M676">
        <v>0.08</v>
      </c>
      <c r="N676">
        <v>0.6153846153846154</v>
      </c>
      <c r="O676">
        <v>0</v>
      </c>
      <c r="P676">
        <v>0.02383625553960966</v>
      </c>
      <c r="Q676">
        <v>0.358195211786372</v>
      </c>
      <c r="R676" t="s">
        <v>765</v>
      </c>
      <c r="S676" t="s">
        <v>774</v>
      </c>
      <c r="T676">
        <v>46437.292825</v>
      </c>
      <c r="U676" s="2">
        <v>44439</v>
      </c>
      <c r="V676" t="s">
        <v>788</v>
      </c>
    </row>
    <row r="677" spans="1:22">
      <c r="A677" s="1" t="s">
        <v>697</v>
      </c>
      <c r="B677">
        <f>HYPERLINK("https://www.suredividend.com/sure-analysis-GOOD/","Gladstone Commercial Corp")</f>
        <v>0</v>
      </c>
      <c r="C677">
        <v>21.53</v>
      </c>
      <c r="D677">
        <v>19</v>
      </c>
      <c r="E677">
        <v>1.133157894736842</v>
      </c>
      <c r="F677">
        <v>0.06967022758941012</v>
      </c>
      <c r="G677">
        <v>-0.0246917132676806</v>
      </c>
      <c r="H677">
        <v>0.02</v>
      </c>
      <c r="I677">
        <v>0.05752750993481803</v>
      </c>
      <c r="J677" t="s">
        <v>763</v>
      </c>
      <c r="K677" t="s">
        <v>358</v>
      </c>
      <c r="L677">
        <v>1.56</v>
      </c>
      <c r="M677">
        <v>1.5</v>
      </c>
      <c r="N677">
        <v>0.9615384615384615</v>
      </c>
      <c r="O677">
        <v>0</v>
      </c>
      <c r="P677">
        <v>0</v>
      </c>
      <c r="Q677">
        <v>0.441439029939638</v>
      </c>
      <c r="R677" t="s">
        <v>767</v>
      </c>
      <c r="S677" t="s">
        <v>779</v>
      </c>
      <c r="T677">
        <v>791.588043</v>
      </c>
      <c r="U677" s="2">
        <v>44424</v>
      </c>
      <c r="V677" t="s">
        <v>785</v>
      </c>
    </row>
    <row r="678" spans="1:22">
      <c r="A678" s="1" t="s">
        <v>698</v>
      </c>
      <c r="B678">
        <f>HYPERLINK("https://www.suredividend.com/sure-analysis-CBRL/","Cracker Barrel Old Country Store Inc")</f>
        <v>0</v>
      </c>
      <c r="C678">
        <v>145.805</v>
      </c>
      <c r="D678">
        <v>135</v>
      </c>
      <c r="E678">
        <v>1.080037037037037</v>
      </c>
      <c r="F678">
        <v>0.03566407187682178</v>
      </c>
      <c r="G678">
        <v>-0.01528110745496591</v>
      </c>
      <c r="H678">
        <v>0.031</v>
      </c>
      <c r="I678">
        <v>0.05503018902616086</v>
      </c>
      <c r="J678" t="s">
        <v>763</v>
      </c>
      <c r="K678" t="s">
        <v>498</v>
      </c>
      <c r="L678">
        <v>5.22</v>
      </c>
      <c r="M678">
        <v>5.2</v>
      </c>
      <c r="N678">
        <v>0.996168582375479</v>
      </c>
      <c r="O678">
        <v>0</v>
      </c>
      <c r="P678">
        <v>0.08391506054938436</v>
      </c>
      <c r="Q678">
        <v>0.267855020380767</v>
      </c>
      <c r="R678" t="s">
        <v>765</v>
      </c>
      <c r="S678" t="s">
        <v>775</v>
      </c>
      <c r="T678">
        <v>3441.984786</v>
      </c>
      <c r="U678" s="2">
        <v>44369</v>
      </c>
      <c r="V678" t="s">
        <v>790</v>
      </c>
    </row>
    <row r="679" spans="1:22">
      <c r="A679" s="1" t="s">
        <v>699</v>
      </c>
      <c r="B679">
        <f>HYPERLINK("https://www.suredividend.com/sure-analysis-BEP/","Brookfield Renewable Partners LP")</f>
        <v>0</v>
      </c>
      <c r="C679">
        <v>38.185</v>
      </c>
      <c r="D679">
        <v>32</v>
      </c>
      <c r="E679">
        <v>1.19328125</v>
      </c>
      <c r="F679">
        <v>0.0319497184758413</v>
      </c>
      <c r="G679">
        <v>-0.03472415920730187</v>
      </c>
      <c r="H679">
        <v>0.06</v>
      </c>
      <c r="I679">
        <v>0.05501501740204828</v>
      </c>
      <c r="J679" t="s">
        <v>763</v>
      </c>
      <c r="K679" t="s">
        <v>498</v>
      </c>
      <c r="L679">
        <v>1.9</v>
      </c>
      <c r="M679">
        <v>1.22</v>
      </c>
      <c r="N679">
        <v>0.6421052631578947</v>
      </c>
      <c r="O679">
        <v>0</v>
      </c>
      <c r="P679">
        <v>0.05039574430966676</v>
      </c>
      <c r="Q679">
        <v>0.311675333254289</v>
      </c>
      <c r="R679" t="s">
        <v>766</v>
      </c>
      <c r="S679" t="s">
        <v>776</v>
      </c>
      <c r="T679">
        <v>10645.854176</v>
      </c>
      <c r="U679" s="2">
        <v>44439</v>
      </c>
      <c r="V679" t="s">
        <v>787</v>
      </c>
    </row>
    <row r="680" spans="1:22">
      <c r="A680" s="1" t="s">
        <v>700</v>
      </c>
      <c r="B680">
        <f>HYPERLINK("https://www.suredividend.com/sure-analysis-STOR/","Store Capital Corp")</f>
        <v>0</v>
      </c>
      <c r="C680">
        <v>34.1</v>
      </c>
      <c r="D680">
        <v>29</v>
      </c>
      <c r="E680">
        <v>1.175862068965517</v>
      </c>
      <c r="F680">
        <v>0.04516129032258064</v>
      </c>
      <c r="G680">
        <v>-0.03188104403352299</v>
      </c>
      <c r="H680">
        <v>0.04</v>
      </c>
      <c r="I680">
        <v>0.05420115582452434</v>
      </c>
      <c r="J680" t="s">
        <v>763</v>
      </c>
      <c r="K680" t="s">
        <v>498</v>
      </c>
      <c r="L680">
        <v>1.95</v>
      </c>
      <c r="M680">
        <v>1.54</v>
      </c>
      <c r="N680">
        <v>0.7897435897435898</v>
      </c>
      <c r="O680">
        <v>8</v>
      </c>
      <c r="P680">
        <v>0.05680549653640732</v>
      </c>
      <c r="Q680">
        <v>0.361343127973444</v>
      </c>
      <c r="R680" t="s">
        <v>767</v>
      </c>
      <c r="S680" t="s">
        <v>779</v>
      </c>
      <c r="T680">
        <v>9218.421854</v>
      </c>
      <c r="U680" s="2">
        <v>44439</v>
      </c>
      <c r="V680" t="s">
        <v>788</v>
      </c>
    </row>
    <row r="681" spans="1:22">
      <c r="A681" s="1" t="s">
        <v>701</v>
      </c>
      <c r="B681">
        <f>HYPERLINK("https://www.suredividend.com/sure-analysis-AM/","Antero Midstream Corp")</f>
        <v>0</v>
      </c>
      <c r="C681">
        <v>10.24</v>
      </c>
      <c r="D681">
        <v>9.5</v>
      </c>
      <c r="E681">
        <v>1.077894736842105</v>
      </c>
      <c r="F681">
        <v>0.087890625</v>
      </c>
      <c r="G681">
        <v>-0.01488999535286761</v>
      </c>
      <c r="H681">
        <v>-0.015</v>
      </c>
      <c r="I681">
        <v>0.05381942827427877</v>
      </c>
      <c r="J681" t="s">
        <v>763</v>
      </c>
      <c r="K681" t="s">
        <v>762</v>
      </c>
      <c r="L681">
        <v>1.35</v>
      </c>
      <c r="M681">
        <v>0.9</v>
      </c>
      <c r="N681">
        <v>0.6666666666666666</v>
      </c>
      <c r="O681">
        <v>0</v>
      </c>
      <c r="P681">
        <v>0</v>
      </c>
      <c r="Q681">
        <v>1.257858448796176</v>
      </c>
      <c r="R681" t="s">
        <v>765</v>
      </c>
      <c r="S681" t="s">
        <v>778</v>
      </c>
      <c r="T681">
        <v>4893.962284</v>
      </c>
      <c r="U681" s="2">
        <v>44411</v>
      </c>
      <c r="V681" t="s">
        <v>790</v>
      </c>
    </row>
    <row r="682" spans="1:22">
      <c r="A682" s="1" t="s">
        <v>702</v>
      </c>
      <c r="B682">
        <f>HYPERLINK("https://www.suredividend.com/sure-analysis-GLPI/","Gaming and Leisure Properties Inc")</f>
        <v>0</v>
      </c>
      <c r="C682">
        <v>47.875</v>
      </c>
      <c r="D682">
        <v>46.2</v>
      </c>
      <c r="E682">
        <v>1.036255411255411</v>
      </c>
      <c r="F682">
        <v>0.05597911227154048</v>
      </c>
      <c r="G682">
        <v>-0.007097423361617228</v>
      </c>
      <c r="H682">
        <v>0.008999999999999999</v>
      </c>
      <c r="I682">
        <v>0.05332188945774274</v>
      </c>
      <c r="J682" t="s">
        <v>763</v>
      </c>
      <c r="K682" t="s">
        <v>358</v>
      </c>
      <c r="L682">
        <v>3.3</v>
      </c>
      <c r="M682">
        <v>2.68</v>
      </c>
      <c r="N682">
        <v>0.8121212121212122</v>
      </c>
      <c r="O682">
        <v>0</v>
      </c>
      <c r="P682">
        <v>0.008799010229586735</v>
      </c>
      <c r="Q682">
        <v>0.420931691235705</v>
      </c>
      <c r="R682" t="s">
        <v>767</v>
      </c>
      <c r="S682" t="s">
        <v>779</v>
      </c>
      <c r="T682">
        <v>11199.591767</v>
      </c>
      <c r="U682" s="2">
        <v>44421</v>
      </c>
      <c r="V682" t="s">
        <v>790</v>
      </c>
    </row>
    <row r="683" spans="1:22">
      <c r="A683" s="1" t="s">
        <v>703</v>
      </c>
      <c r="B683">
        <f>HYPERLINK("https://www.suredividend.com/sure-analysis-ARR/","ARMOUR Residential REIT Inc")</f>
        <v>0</v>
      </c>
      <c r="C683">
        <v>10.875</v>
      </c>
      <c r="D683">
        <v>7.4</v>
      </c>
      <c r="E683">
        <v>1.469594594594595</v>
      </c>
      <c r="F683">
        <v>0.1103448275862069</v>
      </c>
      <c r="G683">
        <v>-0.07410766070268049</v>
      </c>
      <c r="H683">
        <v>0.027</v>
      </c>
      <c r="I683">
        <v>0.05176204916080263</v>
      </c>
      <c r="J683" t="s">
        <v>763</v>
      </c>
      <c r="K683" t="s">
        <v>358</v>
      </c>
      <c r="L683">
        <v>1.05</v>
      </c>
      <c r="M683">
        <v>1.2</v>
      </c>
      <c r="N683">
        <v>1.142857142857143</v>
      </c>
      <c r="O683">
        <v>0</v>
      </c>
      <c r="P683">
        <v>-0.0263528193848318</v>
      </c>
      <c r="Q683">
        <v>0.325033671872156</v>
      </c>
      <c r="R683" t="s">
        <v>767</v>
      </c>
      <c r="S683" t="s">
        <v>779</v>
      </c>
      <c r="T683">
        <v>777.984764</v>
      </c>
      <c r="U683" s="2">
        <v>44403</v>
      </c>
      <c r="V683" t="s">
        <v>790</v>
      </c>
    </row>
    <row r="684" spans="1:22">
      <c r="A684" s="1" t="s">
        <v>704</v>
      </c>
      <c r="B684">
        <f>HYPERLINK("https://www.suredividend.com/sure-analysis-IDEXY/","Industria De Diseno Textil SA")</f>
        <v>0</v>
      </c>
      <c r="C684">
        <v>18.82</v>
      </c>
      <c r="D684">
        <v>13.5</v>
      </c>
      <c r="E684">
        <v>1.394074074074074</v>
      </c>
      <c r="F684">
        <v>0.02231668437832093</v>
      </c>
      <c r="G684">
        <v>-0.06428664095531722</v>
      </c>
      <c r="H684">
        <v>0.1</v>
      </c>
      <c r="I684">
        <v>0.05148397368742419</v>
      </c>
      <c r="J684" t="s">
        <v>763</v>
      </c>
      <c r="K684" t="s">
        <v>763</v>
      </c>
      <c r="L684">
        <v>0.54</v>
      </c>
      <c r="M684">
        <v>0.42</v>
      </c>
      <c r="N684">
        <v>0.7777777777777777</v>
      </c>
      <c r="O684">
        <v>0</v>
      </c>
      <c r="P684">
        <v>0.05154749679728043</v>
      </c>
      <c r="Q684">
        <v>0.345246604717655</v>
      </c>
      <c r="R684" t="s">
        <v>765</v>
      </c>
      <c r="S684" t="s">
        <v>775</v>
      </c>
      <c r="T684">
        <v>117310.78128</v>
      </c>
      <c r="U684" s="2">
        <v>44458</v>
      </c>
      <c r="V684" t="s">
        <v>780</v>
      </c>
    </row>
    <row r="685" spans="1:22">
      <c r="A685" s="1" t="s">
        <v>705</v>
      </c>
      <c r="B685">
        <f>HYPERLINK("https://www.suredividend.com/sure-analysis-DTEGY/","Deutsche Telekom AG")</f>
        <v>0</v>
      </c>
      <c r="C685">
        <v>20.772</v>
      </c>
      <c r="D685">
        <v>17</v>
      </c>
      <c r="E685">
        <v>1.221882352941176</v>
      </c>
      <c r="F685">
        <v>0.03466204506065858</v>
      </c>
      <c r="G685">
        <v>-0.039285995599879</v>
      </c>
      <c r="H685">
        <v>0.06</v>
      </c>
      <c r="I685">
        <v>0.04966748587754899</v>
      </c>
      <c r="J685" t="s">
        <v>763</v>
      </c>
      <c r="K685" t="s">
        <v>498</v>
      </c>
      <c r="L685">
        <v>1.1</v>
      </c>
      <c r="M685">
        <v>0.72</v>
      </c>
      <c r="N685">
        <v>0.6545454545454544</v>
      </c>
      <c r="O685">
        <v>1</v>
      </c>
      <c r="P685">
        <v>0.01087212085035083</v>
      </c>
      <c r="Q685">
        <v>0.27614869970695</v>
      </c>
      <c r="R685" t="s">
        <v>765</v>
      </c>
      <c r="S685" t="s">
        <v>769</v>
      </c>
      <c r="T685">
        <v>98905.017956</v>
      </c>
      <c r="U685" s="2">
        <v>44439</v>
      </c>
      <c r="V685" t="s">
        <v>787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56.06</v>
      </c>
      <c r="D686">
        <v>41</v>
      </c>
      <c r="E686">
        <v>1.367317073170732</v>
      </c>
      <c r="F686">
        <v>0.03210845522654299</v>
      </c>
      <c r="G686">
        <v>-0.06065278379495509</v>
      </c>
      <c r="H686">
        <v>0.08</v>
      </c>
      <c r="I686">
        <v>0.04764544929832004</v>
      </c>
      <c r="J686" t="s">
        <v>763</v>
      </c>
      <c r="K686" t="s">
        <v>498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0.479203932671078</v>
      </c>
      <c r="R686" t="s">
        <v>767</v>
      </c>
      <c r="S686" t="s">
        <v>779</v>
      </c>
      <c r="T686">
        <v>21481.293181</v>
      </c>
      <c r="U686" s="2">
        <v>44435</v>
      </c>
      <c r="V686" t="s">
        <v>787</v>
      </c>
    </row>
    <row r="687" spans="1:22">
      <c r="A687" s="1" t="s">
        <v>707</v>
      </c>
      <c r="B687">
        <f>HYPERLINK("https://www.suredividend.com/sure-analysis-MAIN/","Main Street Capital Corporation")</f>
        <v>0</v>
      </c>
      <c r="C687">
        <v>41.68</v>
      </c>
      <c r="D687">
        <v>35</v>
      </c>
      <c r="E687">
        <v>1.190857142857143</v>
      </c>
      <c r="F687">
        <v>0.059021113243762</v>
      </c>
      <c r="G687">
        <v>-0.03433149596751028</v>
      </c>
      <c r="H687">
        <v>0.025</v>
      </c>
      <c r="I687">
        <v>0.04638752795118961</v>
      </c>
      <c r="J687" t="s">
        <v>763</v>
      </c>
      <c r="K687" t="s">
        <v>498</v>
      </c>
      <c r="L687">
        <v>2.33</v>
      </c>
      <c r="M687">
        <v>2.46</v>
      </c>
      <c r="N687">
        <v>1.055793991416309</v>
      </c>
      <c r="O687">
        <v>5</v>
      </c>
      <c r="P687">
        <v>0.01035252555087074</v>
      </c>
      <c r="Q687">
        <v>0.521190624200095</v>
      </c>
      <c r="R687" t="s">
        <v>768</v>
      </c>
      <c r="S687" t="s">
        <v>773</v>
      </c>
      <c r="T687">
        <v>2854.21785</v>
      </c>
      <c r="U687" s="2">
        <v>44417</v>
      </c>
      <c r="V687" t="s">
        <v>782</v>
      </c>
    </row>
    <row r="688" spans="1:22">
      <c r="A688" s="1" t="s">
        <v>708</v>
      </c>
      <c r="B688">
        <f>HYPERLINK("https://www.suredividend.com/sure-analysis-PBA/","Pembina Pipeline Corporation")</f>
        <v>0</v>
      </c>
      <c r="C688">
        <v>31.275</v>
      </c>
      <c r="D688">
        <v>24</v>
      </c>
      <c r="E688">
        <v>1.303125</v>
      </c>
      <c r="F688">
        <v>0.06330935251798561</v>
      </c>
      <c r="G688">
        <v>-0.05157545547935738</v>
      </c>
      <c r="H688">
        <v>0.04</v>
      </c>
      <c r="I688">
        <v>0.04599151575065585</v>
      </c>
      <c r="J688" t="s">
        <v>763</v>
      </c>
      <c r="K688" t="s">
        <v>358</v>
      </c>
      <c r="L688">
        <v>2</v>
      </c>
      <c r="M688">
        <v>1.98</v>
      </c>
      <c r="N688">
        <v>0.99</v>
      </c>
      <c r="O688">
        <v>5</v>
      </c>
      <c r="P688">
        <v>0.002012088709965276</v>
      </c>
      <c r="Q688">
        <v>0.5858510380483071</v>
      </c>
      <c r="R688" t="s">
        <v>765</v>
      </c>
      <c r="S688" t="s">
        <v>778</v>
      </c>
      <c r="T688">
        <v>17277.970679</v>
      </c>
      <c r="U688" s="2">
        <v>44442</v>
      </c>
      <c r="V688" t="s">
        <v>787</v>
      </c>
    </row>
    <row r="689" spans="1:22">
      <c r="A689" s="1" t="s">
        <v>709</v>
      </c>
      <c r="B689">
        <f>HYPERLINK("https://www.suredividend.com/sure-analysis-SCM/","Stellus Capital Investment Corp")</f>
        <v>0</v>
      </c>
      <c r="C689">
        <v>13.5</v>
      </c>
      <c r="D689">
        <v>11.5</v>
      </c>
      <c r="E689">
        <v>1.173913043478261</v>
      </c>
      <c r="F689">
        <v>0.08</v>
      </c>
      <c r="G689">
        <v>-0.0315597874172574</v>
      </c>
      <c r="H689">
        <v>0</v>
      </c>
      <c r="I689">
        <v>0.04594918828447536</v>
      </c>
      <c r="J689" t="s">
        <v>763</v>
      </c>
      <c r="K689" t="s">
        <v>358</v>
      </c>
      <c r="L689">
        <v>1.15</v>
      </c>
      <c r="M689">
        <v>1.08</v>
      </c>
      <c r="N689">
        <v>0.9391304347826088</v>
      </c>
      <c r="O689">
        <v>0</v>
      </c>
      <c r="P689">
        <v>0</v>
      </c>
      <c r="Q689">
        <v>0.7803206706140641</v>
      </c>
      <c r="R689" t="s">
        <v>768</v>
      </c>
      <c r="S689" t="s">
        <v>773</v>
      </c>
      <c r="T689">
        <v>260.72272</v>
      </c>
      <c r="U689" s="2">
        <v>44435</v>
      </c>
      <c r="V689" t="s">
        <v>785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16.7</v>
      </c>
      <c r="D690">
        <v>13.4</v>
      </c>
      <c r="E690">
        <v>1.246268656716418</v>
      </c>
      <c r="F690">
        <v>0.07664670658682635</v>
      </c>
      <c r="G690">
        <v>-0.0430755186407199</v>
      </c>
      <c r="H690">
        <v>0.005</v>
      </c>
      <c r="I690">
        <v>0.04327350520112971</v>
      </c>
      <c r="J690" t="s">
        <v>763</v>
      </c>
      <c r="K690" t="s">
        <v>358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0.580918962492294</v>
      </c>
      <c r="R690" t="s">
        <v>768</v>
      </c>
      <c r="S690" t="s">
        <v>773</v>
      </c>
      <c r="T690">
        <v>1931.054334</v>
      </c>
      <c r="U690" s="2">
        <v>44420</v>
      </c>
      <c r="V690" t="s">
        <v>790</v>
      </c>
    </row>
    <row r="691" spans="1:22">
      <c r="A691" s="1" t="s">
        <v>711</v>
      </c>
      <c r="B691">
        <f>HYPERLINK("https://www.suredividend.com/sure-analysis-CIM/","Chimera Investment Corp")</f>
        <v>0</v>
      </c>
      <c r="C691">
        <v>15.42</v>
      </c>
      <c r="D691">
        <v>11</v>
      </c>
      <c r="E691">
        <v>1.401818181818182</v>
      </c>
      <c r="F691">
        <v>0.08365758754863814</v>
      </c>
      <c r="G691">
        <v>-0.06532277113990703</v>
      </c>
      <c r="H691">
        <v>0.02</v>
      </c>
      <c r="I691">
        <v>0.04241798308129607</v>
      </c>
      <c r="J691" t="s">
        <v>763</v>
      </c>
      <c r="K691" t="s">
        <v>358</v>
      </c>
      <c r="L691">
        <v>1.4</v>
      </c>
      <c r="M691">
        <v>1.29</v>
      </c>
      <c r="N691">
        <v>0.9214285714285715</v>
      </c>
      <c r="O691">
        <v>0</v>
      </c>
      <c r="P691">
        <v>0.01938849279650956</v>
      </c>
      <c r="Q691">
        <v>1.047432405500564</v>
      </c>
      <c r="R691" t="s">
        <v>765</v>
      </c>
      <c r="S691" t="s">
        <v>779</v>
      </c>
      <c r="T691">
        <v>3636.078631</v>
      </c>
      <c r="U691" s="2">
        <v>44439</v>
      </c>
      <c r="V691" t="s">
        <v>787</v>
      </c>
    </row>
    <row r="692" spans="1:22">
      <c r="A692" s="1" t="s">
        <v>712</v>
      </c>
      <c r="B692">
        <f>HYPERLINK("https://www.suredividend.com/sure-analysis-PSEC/","Prospect Capital Corp")</f>
        <v>0</v>
      </c>
      <c r="C692">
        <v>7.955</v>
      </c>
      <c r="D692">
        <v>6.1</v>
      </c>
      <c r="E692">
        <v>1.304098360655738</v>
      </c>
      <c r="F692">
        <v>0.09050911376492772</v>
      </c>
      <c r="G692">
        <v>-0.05171707591246544</v>
      </c>
      <c r="H692">
        <v>0</v>
      </c>
      <c r="I692">
        <v>0.04046220753336138</v>
      </c>
      <c r="J692" t="s">
        <v>763</v>
      </c>
      <c r="K692" t="s">
        <v>358</v>
      </c>
      <c r="L692">
        <v>0.72</v>
      </c>
      <c r="M692">
        <v>0.72</v>
      </c>
      <c r="N692">
        <v>1</v>
      </c>
      <c r="O692">
        <v>0</v>
      </c>
      <c r="P692">
        <v>0</v>
      </c>
      <c r="Q692">
        <v>0.7539984094724751</v>
      </c>
      <c r="R692" t="s">
        <v>768</v>
      </c>
      <c r="S692" t="s">
        <v>773</v>
      </c>
      <c r="T692">
        <v>3089.656716</v>
      </c>
      <c r="U692" s="2">
        <v>44444</v>
      </c>
      <c r="V692" t="s">
        <v>785</v>
      </c>
    </row>
    <row r="693" spans="1:22">
      <c r="A693" s="1" t="s">
        <v>713</v>
      </c>
      <c r="B693">
        <f>HYPERLINK("https://www.suredividend.com/sure-analysis-ACC/","American Campus Communities Inc.")</f>
        <v>0</v>
      </c>
      <c r="C693">
        <v>50.38</v>
      </c>
      <c r="D693">
        <v>38</v>
      </c>
      <c r="E693">
        <v>1.325789473684211</v>
      </c>
      <c r="F693">
        <v>0.03731639539499801</v>
      </c>
      <c r="G693">
        <v>-0.05484053740728079</v>
      </c>
      <c r="H693">
        <v>0.06</v>
      </c>
      <c r="I693">
        <v>0.03896333753208236</v>
      </c>
      <c r="J693" t="s">
        <v>763</v>
      </c>
      <c r="K693" t="s">
        <v>498</v>
      </c>
      <c r="L693">
        <v>2.02</v>
      </c>
      <c r="M693">
        <v>1.88</v>
      </c>
      <c r="N693">
        <v>0.9306930693069306</v>
      </c>
      <c r="O693">
        <v>8</v>
      </c>
      <c r="P693">
        <v>0.02528440313403202</v>
      </c>
      <c r="Q693">
        <v>0.582741988434051</v>
      </c>
      <c r="R693" t="s">
        <v>767</v>
      </c>
      <c r="S693" t="s">
        <v>779</v>
      </c>
      <c r="T693">
        <v>6974.817559</v>
      </c>
      <c r="U693" s="2">
        <v>44404</v>
      </c>
      <c r="V693" t="s">
        <v>780</v>
      </c>
    </row>
    <row r="694" spans="1:22">
      <c r="A694" s="1" t="s">
        <v>714</v>
      </c>
      <c r="B694">
        <f>HYPERLINK("https://www.suredividend.com/sure-analysis-BXMT/","Blackstone Mortgage Trust Inc")</f>
        <v>0</v>
      </c>
      <c r="C694">
        <v>31.12</v>
      </c>
      <c r="D694">
        <v>24</v>
      </c>
      <c r="E694">
        <v>1.296666666666667</v>
      </c>
      <c r="F694">
        <v>0.07969151670951156</v>
      </c>
      <c r="G694">
        <v>-0.0506325647420931</v>
      </c>
      <c r="H694">
        <v>0.007</v>
      </c>
      <c r="I694">
        <v>0.03662489454340778</v>
      </c>
      <c r="J694" t="s">
        <v>763</v>
      </c>
      <c r="K694" t="s">
        <v>358</v>
      </c>
      <c r="L694">
        <v>2.4</v>
      </c>
      <c r="M694">
        <v>2.48</v>
      </c>
      <c r="N694">
        <v>1.033333333333333</v>
      </c>
      <c r="O694">
        <v>0</v>
      </c>
      <c r="P694">
        <v>0</v>
      </c>
      <c r="Q694">
        <v>0.567139391865369</v>
      </c>
      <c r="R694" t="s">
        <v>767</v>
      </c>
      <c r="S694" t="s">
        <v>779</v>
      </c>
      <c r="T694">
        <v>4578.081261</v>
      </c>
      <c r="U694" s="2">
        <v>44421</v>
      </c>
      <c r="V694" t="s">
        <v>790</v>
      </c>
    </row>
    <row r="695" spans="1:22">
      <c r="A695" s="1" t="s">
        <v>715</v>
      </c>
      <c r="B695">
        <f>HYPERLINK("https://www.suredividend.com/sure-analysis-IRM/","Iron Mountain Inc.")</f>
        <v>0</v>
      </c>
      <c r="C695">
        <v>44.82</v>
      </c>
      <c r="D695">
        <v>37</v>
      </c>
      <c r="E695">
        <v>1.211351351351351</v>
      </c>
      <c r="F695">
        <v>0.05510932619366354</v>
      </c>
      <c r="G695">
        <v>-0.03762136198637434</v>
      </c>
      <c r="H695">
        <v>0.02</v>
      </c>
      <c r="I695">
        <v>0.03638152432173802</v>
      </c>
      <c r="J695" t="s">
        <v>763</v>
      </c>
      <c r="K695" t="s">
        <v>358</v>
      </c>
      <c r="L695">
        <v>3.39</v>
      </c>
      <c r="M695">
        <v>2.47</v>
      </c>
      <c r="N695">
        <v>0.728613569321534</v>
      </c>
      <c r="O695">
        <v>10</v>
      </c>
      <c r="P695">
        <v>0.01031145931793609</v>
      </c>
      <c r="Q695">
        <v>0.8324414551524371</v>
      </c>
      <c r="R695" t="s">
        <v>767</v>
      </c>
      <c r="S695" t="s">
        <v>779</v>
      </c>
      <c r="T695">
        <v>12964.927464</v>
      </c>
      <c r="U695" s="2">
        <v>44433</v>
      </c>
      <c r="V695" t="s">
        <v>783</v>
      </c>
    </row>
    <row r="696" spans="1:22">
      <c r="A696" s="1" t="s">
        <v>716</v>
      </c>
      <c r="B696">
        <f>HYPERLINK("https://www.suredividend.com/sure-analysis-LADR/","Ladder Capital Corp")</f>
        <v>0</v>
      </c>
      <c r="C696">
        <v>11.325</v>
      </c>
      <c r="D696">
        <v>8.5</v>
      </c>
      <c r="E696">
        <v>1.332352941176471</v>
      </c>
      <c r="F696">
        <v>0.07064017660044151</v>
      </c>
      <c r="G696">
        <v>-0.05577359102197865</v>
      </c>
      <c r="H696">
        <v>0.02</v>
      </c>
      <c r="I696">
        <v>0.03581987648314677</v>
      </c>
      <c r="J696" t="s">
        <v>763</v>
      </c>
      <c r="K696" t="s">
        <v>498</v>
      </c>
      <c r="L696">
        <v>0.4</v>
      </c>
      <c r="M696">
        <v>0.8</v>
      </c>
      <c r="N696">
        <v>2</v>
      </c>
      <c r="O696">
        <v>0</v>
      </c>
      <c r="P696">
        <v>0.009805797673485328</v>
      </c>
      <c r="Q696">
        <v>0.816603433862774</v>
      </c>
      <c r="R696" t="s">
        <v>767</v>
      </c>
      <c r="S696" t="s">
        <v>779</v>
      </c>
      <c r="T696">
        <v>1426.498926</v>
      </c>
      <c r="U696" s="2">
        <v>44418</v>
      </c>
      <c r="V696" t="s">
        <v>782</v>
      </c>
    </row>
    <row r="697" spans="1:22">
      <c r="A697" s="1" t="s">
        <v>717</v>
      </c>
      <c r="B697">
        <f>HYPERLINK("https://www.suredividend.com/sure-analysis-BCE/","BCE Inc")</f>
        <v>0</v>
      </c>
      <c r="C697">
        <v>50.94</v>
      </c>
      <c r="D697">
        <v>40</v>
      </c>
      <c r="E697">
        <v>1.2735</v>
      </c>
      <c r="F697">
        <v>0.05477031802120141</v>
      </c>
      <c r="G697">
        <v>-0.04720337495113958</v>
      </c>
      <c r="H697">
        <v>0.03</v>
      </c>
      <c r="I697">
        <v>0.03510101122512688</v>
      </c>
      <c r="J697" t="s">
        <v>763</v>
      </c>
      <c r="K697" t="s">
        <v>498</v>
      </c>
      <c r="L697">
        <v>2.55</v>
      </c>
      <c r="M697">
        <v>2.79</v>
      </c>
      <c r="N697">
        <v>1.094117647058824</v>
      </c>
      <c r="O697">
        <v>12</v>
      </c>
      <c r="P697">
        <v>0.004968307109833203</v>
      </c>
      <c r="Q697">
        <v>0.320415274856695</v>
      </c>
      <c r="R697" t="s">
        <v>765</v>
      </c>
      <c r="S697" t="s">
        <v>769</v>
      </c>
      <c r="T697">
        <v>46471.003033</v>
      </c>
      <c r="U697" s="2">
        <v>44425</v>
      </c>
      <c r="V697" t="s">
        <v>789</v>
      </c>
    </row>
    <row r="698" spans="1:22">
      <c r="A698" s="1" t="s">
        <v>718</v>
      </c>
      <c r="B698">
        <f>HYPERLINK("https://www.suredividend.com/sure-analysis-SBR/","Sabine Royalty Trust")</f>
        <v>0</v>
      </c>
      <c r="C698">
        <v>41.347</v>
      </c>
      <c r="D698">
        <v>30</v>
      </c>
      <c r="E698">
        <v>1.378233333333333</v>
      </c>
      <c r="F698">
        <v>0.07134737707693424</v>
      </c>
      <c r="G698">
        <v>-0.06214553552439916</v>
      </c>
      <c r="H698">
        <v>0.02</v>
      </c>
      <c r="I698">
        <v>0.03365932458198784</v>
      </c>
      <c r="J698" t="s">
        <v>763</v>
      </c>
      <c r="K698" t="s">
        <v>358</v>
      </c>
      <c r="L698">
        <v>2.95</v>
      </c>
      <c r="M698">
        <v>2.95</v>
      </c>
      <c r="N698">
        <v>1</v>
      </c>
      <c r="O698">
        <v>0</v>
      </c>
      <c r="P698">
        <v>0.02018543011640217</v>
      </c>
      <c r="Q698">
        <v>0.546829149767302</v>
      </c>
      <c r="R698" t="s">
        <v>765</v>
      </c>
      <c r="S698" t="s">
        <v>778</v>
      </c>
      <c r="T698">
        <v>603.2932960000001</v>
      </c>
      <c r="U698" s="2">
        <v>44438</v>
      </c>
      <c r="V698" t="s">
        <v>787</v>
      </c>
    </row>
    <row r="699" spans="1:22">
      <c r="A699" s="1" t="s">
        <v>719</v>
      </c>
      <c r="B699">
        <f>HYPERLINK("https://www.suredividend.com/sure-analysis-OLP/","One Liberty Properties, Inc.")</f>
        <v>0</v>
      </c>
      <c r="C699">
        <v>31.47</v>
      </c>
      <c r="D699">
        <v>24</v>
      </c>
      <c r="E699">
        <v>1.31125</v>
      </c>
      <c r="F699">
        <v>0.05719733079122975</v>
      </c>
      <c r="G699">
        <v>-0.05275373884733481</v>
      </c>
      <c r="H699">
        <v>0.03</v>
      </c>
      <c r="I699">
        <v>0.03341305031630548</v>
      </c>
      <c r="J699" t="s">
        <v>763</v>
      </c>
      <c r="K699" t="s">
        <v>358</v>
      </c>
      <c r="L699">
        <v>1.92</v>
      </c>
      <c r="M699">
        <v>1.8</v>
      </c>
      <c r="N699">
        <v>0.9375000000000001</v>
      </c>
      <c r="O699">
        <v>0</v>
      </c>
      <c r="P699">
        <v>0.009805797673485328</v>
      </c>
      <c r="Q699">
        <v>1.125897660121366</v>
      </c>
      <c r="R699" t="s">
        <v>767</v>
      </c>
      <c r="S699" t="s">
        <v>779</v>
      </c>
      <c r="T699">
        <v>668.634589</v>
      </c>
      <c r="U699" s="2">
        <v>44430</v>
      </c>
      <c r="V699" t="s">
        <v>782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15.47</v>
      </c>
      <c r="D700">
        <v>11</v>
      </c>
      <c r="E700">
        <v>1.406363636363636</v>
      </c>
      <c r="F700">
        <v>0.0775694893341952</v>
      </c>
      <c r="G700">
        <v>-0.06592774072712149</v>
      </c>
      <c r="H700">
        <v>0.02</v>
      </c>
      <c r="I700">
        <v>0.03241141949728377</v>
      </c>
      <c r="J700" t="s">
        <v>763</v>
      </c>
      <c r="K700" t="s">
        <v>358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0.3076190716915631</v>
      </c>
      <c r="R700" t="s">
        <v>768</v>
      </c>
      <c r="S700" t="s">
        <v>773</v>
      </c>
      <c r="T700">
        <v>249.081008</v>
      </c>
      <c r="U700" s="2">
        <v>44418</v>
      </c>
      <c r="V700" t="s">
        <v>780</v>
      </c>
    </row>
    <row r="701" spans="1:22">
      <c r="A701" s="1" t="s">
        <v>721</v>
      </c>
      <c r="B701">
        <f>HYPERLINK("https://www.suredividend.com/sure-analysis-EQR/","Equity Residential Properties Trust")</f>
        <v>0</v>
      </c>
      <c r="C701">
        <v>81.90000000000001</v>
      </c>
      <c r="D701">
        <v>65</v>
      </c>
      <c r="E701">
        <v>1.26</v>
      </c>
      <c r="F701">
        <v>0.02954822954822954</v>
      </c>
      <c r="G701">
        <v>-0.04517036223791504</v>
      </c>
      <c r="H701">
        <v>0.048</v>
      </c>
      <c r="I701">
        <v>0.03219691098388577</v>
      </c>
      <c r="J701" t="s">
        <v>763</v>
      </c>
      <c r="K701" t="s">
        <v>498</v>
      </c>
      <c r="L701">
        <v>2.95</v>
      </c>
      <c r="M701">
        <v>2.42</v>
      </c>
      <c r="N701">
        <v>0.8203389830508474</v>
      </c>
      <c r="O701">
        <v>1</v>
      </c>
      <c r="P701">
        <v>0.04390548076893097</v>
      </c>
      <c r="Q701">
        <v>0.671004832798157</v>
      </c>
      <c r="R701" t="s">
        <v>767</v>
      </c>
      <c r="S701" t="s">
        <v>779</v>
      </c>
      <c r="T701">
        <v>30866.518289</v>
      </c>
      <c r="U701" s="2">
        <v>44411</v>
      </c>
      <c r="V701" t="s">
        <v>790</v>
      </c>
    </row>
    <row r="702" spans="1:22">
      <c r="A702" s="1" t="s">
        <v>722</v>
      </c>
      <c r="B702">
        <f>HYPERLINK("https://www.suredividend.com/sure-analysis-PRT/","PermRock Royalty Trust")</f>
        <v>0</v>
      </c>
      <c r="C702">
        <v>6.593</v>
      </c>
      <c r="D702">
        <v>3.75</v>
      </c>
      <c r="E702">
        <v>1.758133333333333</v>
      </c>
      <c r="F702">
        <v>0.07583801001061732</v>
      </c>
      <c r="G702">
        <v>-0.1067158289172785</v>
      </c>
      <c r="H702">
        <v>0.05</v>
      </c>
      <c r="I702">
        <v>0.03132137959994585</v>
      </c>
      <c r="J702" t="s">
        <v>763</v>
      </c>
      <c r="K702" t="s">
        <v>358</v>
      </c>
      <c r="L702">
        <v>0.5</v>
      </c>
      <c r="M702">
        <v>0.5</v>
      </c>
      <c r="N702">
        <v>1</v>
      </c>
      <c r="O702">
        <v>0</v>
      </c>
      <c r="P702">
        <v>0.05061112176150684</v>
      </c>
      <c r="Q702">
        <v>2.867403314917127</v>
      </c>
      <c r="R702" t="s">
        <v>765</v>
      </c>
      <c r="S702" t="s">
        <v>778</v>
      </c>
      <c r="T702">
        <v>80.050517</v>
      </c>
      <c r="U702" s="2">
        <v>44439</v>
      </c>
      <c r="V702" t="s">
        <v>782</v>
      </c>
    </row>
    <row r="703" spans="1:22">
      <c r="A703" s="1" t="s">
        <v>723</v>
      </c>
      <c r="B703">
        <f>HYPERLINK("https://www.suredividend.com/sure-analysis-STAG/","STAG Industrial Inc")</f>
        <v>0</v>
      </c>
      <c r="C703">
        <v>40.4</v>
      </c>
      <c r="D703">
        <v>31</v>
      </c>
      <c r="E703">
        <v>1.303225806451613</v>
      </c>
      <c r="F703">
        <v>0.03589108910891089</v>
      </c>
      <c r="G703">
        <v>-0.05159012834276544</v>
      </c>
      <c r="H703">
        <v>0.05</v>
      </c>
      <c r="I703">
        <v>0.03056843420057853</v>
      </c>
      <c r="J703" t="s">
        <v>763</v>
      </c>
      <c r="K703" t="s">
        <v>498</v>
      </c>
      <c r="L703">
        <v>2.04</v>
      </c>
      <c r="M703">
        <v>1.45</v>
      </c>
      <c r="N703">
        <v>0.7107843137254901</v>
      </c>
      <c r="O703">
        <v>10</v>
      </c>
      <c r="P703">
        <v>0.006803348678863008</v>
      </c>
      <c r="Q703">
        <v>0.425533480242575</v>
      </c>
      <c r="R703" t="s">
        <v>767</v>
      </c>
      <c r="S703" t="s">
        <v>779</v>
      </c>
      <c r="T703">
        <v>6593.34567</v>
      </c>
      <c r="U703" s="2">
        <v>44428</v>
      </c>
      <c r="V703" t="s">
        <v>787</v>
      </c>
    </row>
    <row r="704" spans="1:22">
      <c r="A704" s="1" t="s">
        <v>724</v>
      </c>
      <c r="B704">
        <f>HYPERLINK("https://www.suredividend.com/sure-analysis-DANOY/","Danone")</f>
        <v>0</v>
      </c>
      <c r="C704">
        <v>14</v>
      </c>
      <c r="D704">
        <v>12.6</v>
      </c>
      <c r="E704">
        <v>1.111111111111111</v>
      </c>
      <c r="F704">
        <v>0.03142857142857143</v>
      </c>
      <c r="G704">
        <v>-0.0208516376390232</v>
      </c>
      <c r="H704">
        <v>0.02</v>
      </c>
      <c r="I704">
        <v>0.03037326073577429</v>
      </c>
      <c r="J704" t="s">
        <v>763</v>
      </c>
      <c r="K704" t="s">
        <v>498</v>
      </c>
      <c r="L704">
        <v>0.7</v>
      </c>
      <c r="M704">
        <v>0.44</v>
      </c>
      <c r="N704">
        <v>0.6285714285714287</v>
      </c>
      <c r="O704">
        <v>0</v>
      </c>
      <c r="P704">
        <v>0.02175949146424117</v>
      </c>
      <c r="Q704">
        <v>0.145044411365383</v>
      </c>
      <c r="R704" t="s">
        <v>765</v>
      </c>
      <c r="S704" t="s">
        <v>774</v>
      </c>
      <c r="T704">
        <v>48134.8</v>
      </c>
      <c r="U704" s="2">
        <v>44411</v>
      </c>
      <c r="V704" t="s">
        <v>791</v>
      </c>
    </row>
    <row r="705" spans="1:22">
      <c r="A705" s="1" t="s">
        <v>725</v>
      </c>
      <c r="B705">
        <f>HYPERLINK("https://www.suredividend.com/sure-analysis-BKR/","Baker Hughes Co")</f>
        <v>0</v>
      </c>
      <c r="C705">
        <v>24.19</v>
      </c>
      <c r="D705">
        <v>13</v>
      </c>
      <c r="E705">
        <v>1.860769230769231</v>
      </c>
      <c r="F705">
        <v>0.02976436544026457</v>
      </c>
      <c r="G705">
        <v>-0.1167950452100555</v>
      </c>
      <c r="H705">
        <v>0.13</v>
      </c>
      <c r="I705">
        <v>0.0263662719770954</v>
      </c>
      <c r="J705" t="s">
        <v>763</v>
      </c>
      <c r="K705" t="s">
        <v>763</v>
      </c>
      <c r="L705">
        <v>0.75</v>
      </c>
      <c r="M705">
        <v>0.72</v>
      </c>
      <c r="N705">
        <v>0.96</v>
      </c>
      <c r="O705">
        <v>0</v>
      </c>
      <c r="P705">
        <v>0</v>
      </c>
      <c r="Q705">
        <v>0.840636413055961</v>
      </c>
      <c r="R705" t="s">
        <v>765</v>
      </c>
      <c r="S705" t="s">
        <v>778</v>
      </c>
      <c r="T705">
        <v>24887.1696</v>
      </c>
      <c r="U705" s="2">
        <v>44398</v>
      </c>
      <c r="V705" t="s">
        <v>787</v>
      </c>
    </row>
    <row r="706" spans="1:22">
      <c r="A706" s="1" t="s">
        <v>726</v>
      </c>
      <c r="B706">
        <f>HYPERLINK("https://www.suredividend.com/sure-analysis-UDR/","UDR Inc")</f>
        <v>0</v>
      </c>
      <c r="C706">
        <v>53.77</v>
      </c>
      <c r="D706">
        <v>40</v>
      </c>
      <c r="E706">
        <v>1.34425</v>
      </c>
      <c r="F706">
        <v>0.02696671006137251</v>
      </c>
      <c r="G706">
        <v>-0.05745088286007627</v>
      </c>
      <c r="H706">
        <v>0.055</v>
      </c>
      <c r="I706">
        <v>0.02450633562326909</v>
      </c>
      <c r="J706" t="s">
        <v>763</v>
      </c>
      <c r="K706" t="s">
        <v>763</v>
      </c>
      <c r="L706">
        <v>1.81</v>
      </c>
      <c r="M706">
        <v>1.45</v>
      </c>
      <c r="N706">
        <v>0.8011049723756906</v>
      </c>
      <c r="O706">
        <v>11</v>
      </c>
      <c r="P706">
        <v>0.0499309672496191</v>
      </c>
      <c r="Q706">
        <v>0.7650501754259761</v>
      </c>
      <c r="R706" t="s">
        <v>767</v>
      </c>
      <c r="S706" t="s">
        <v>779</v>
      </c>
      <c r="T706">
        <v>16023.794097</v>
      </c>
      <c r="U706" s="2">
        <v>44406</v>
      </c>
      <c r="V706" t="s">
        <v>782</v>
      </c>
    </row>
    <row r="707" spans="1:22">
      <c r="A707" s="1" t="s">
        <v>727</v>
      </c>
      <c r="B707">
        <f>HYPERLINK("https://www.suredividend.com/sure-analysis-GAIN/","Gladstone Investment Corporation")</f>
        <v>0</v>
      </c>
      <c r="C707">
        <v>14.23</v>
      </c>
      <c r="D707">
        <v>10</v>
      </c>
      <c r="E707">
        <v>1.423</v>
      </c>
      <c r="F707">
        <v>0.05903021784961349</v>
      </c>
      <c r="G707">
        <v>-0.06812208356067861</v>
      </c>
      <c r="H707">
        <v>0.03</v>
      </c>
      <c r="I707">
        <v>0.02259568219740604</v>
      </c>
      <c r="J707" t="s">
        <v>763</v>
      </c>
      <c r="K707" t="s">
        <v>498</v>
      </c>
      <c r="L707">
        <v>0.8</v>
      </c>
      <c r="M707">
        <v>0.84</v>
      </c>
      <c r="N707">
        <v>1.05</v>
      </c>
      <c r="O707">
        <v>9</v>
      </c>
      <c r="P707">
        <v>0.009347419909568888</v>
      </c>
      <c r="Q707">
        <v>0.6922819513827471</v>
      </c>
      <c r="R707" t="s">
        <v>768</v>
      </c>
      <c r="S707" t="s">
        <v>773</v>
      </c>
      <c r="T707">
        <v>470.183126</v>
      </c>
      <c r="U707" s="2">
        <v>44433</v>
      </c>
      <c r="V707" t="s">
        <v>783</v>
      </c>
    </row>
    <row r="708" spans="1:22">
      <c r="A708" s="1" t="s">
        <v>728</v>
      </c>
      <c r="B708">
        <f>HYPERLINK("https://www.suredividend.com/sure-analysis-SJR/","Shaw Communications Inc.")</f>
        <v>0</v>
      </c>
      <c r="C708">
        <v>28.925</v>
      </c>
      <c r="D708">
        <v>22</v>
      </c>
      <c r="E708">
        <v>1.314772727272727</v>
      </c>
      <c r="F708">
        <v>0.03249783923941227</v>
      </c>
      <c r="G708">
        <v>-0.05326188328910308</v>
      </c>
      <c r="H708">
        <v>0.045</v>
      </c>
      <c r="I708">
        <v>0.02228287840164844</v>
      </c>
      <c r="J708" t="s">
        <v>763</v>
      </c>
      <c r="K708" t="s">
        <v>498</v>
      </c>
      <c r="L708">
        <v>1.3</v>
      </c>
      <c r="M708">
        <v>0.9399999999999999</v>
      </c>
      <c r="N708">
        <v>0.7230769230769231</v>
      </c>
      <c r="O708">
        <v>0</v>
      </c>
      <c r="P708">
        <v>0.01245196889366262</v>
      </c>
      <c r="Q708">
        <v>0.6994643757105511</v>
      </c>
      <c r="R708" t="s">
        <v>765</v>
      </c>
      <c r="S708" t="s">
        <v>769</v>
      </c>
      <c r="T708">
        <v>13818.323564</v>
      </c>
      <c r="U708" s="2">
        <v>44396</v>
      </c>
      <c r="V708" t="s">
        <v>782</v>
      </c>
    </row>
    <row r="709" spans="1:22">
      <c r="A709" s="1" t="s">
        <v>729</v>
      </c>
      <c r="B709">
        <f>HYPERLINK("https://www.suredividend.com/sure-analysis-MNR/","Monmouth Real Estate Investment Corp.")</f>
        <v>0</v>
      </c>
      <c r="C709">
        <v>18.99</v>
      </c>
      <c r="D709">
        <v>15</v>
      </c>
      <c r="E709">
        <v>1.266</v>
      </c>
      <c r="F709">
        <v>0.03791469194312796</v>
      </c>
      <c r="G709">
        <v>-0.04607713466037244</v>
      </c>
      <c r="H709">
        <v>0.03</v>
      </c>
      <c r="I709">
        <v>0.02222828556027778</v>
      </c>
      <c r="J709" t="s">
        <v>763</v>
      </c>
      <c r="K709" t="s">
        <v>498</v>
      </c>
      <c r="L709">
        <v>0.75</v>
      </c>
      <c r="M709">
        <v>0.72</v>
      </c>
      <c r="N709">
        <v>0.96</v>
      </c>
      <c r="O709">
        <v>1</v>
      </c>
      <c r="P709">
        <v>0.01872958559274807</v>
      </c>
      <c r="Q709">
        <v>0.503190998360734</v>
      </c>
      <c r="R709" t="s">
        <v>767</v>
      </c>
      <c r="S709" t="s">
        <v>779</v>
      </c>
      <c r="T709">
        <v>1856.92869</v>
      </c>
      <c r="U709" s="2">
        <v>44426</v>
      </c>
      <c r="V709" t="s">
        <v>780</v>
      </c>
    </row>
    <row r="710" spans="1:22">
      <c r="A710" s="1" t="s">
        <v>730</v>
      </c>
      <c r="B710">
        <f>HYPERLINK("https://www.suredividend.com/sure-analysis-PBT/","Permian Basin Royalty Trust")</f>
        <v>0</v>
      </c>
      <c r="C710">
        <v>5.32</v>
      </c>
      <c r="D710">
        <v>3.1</v>
      </c>
      <c r="E710">
        <v>1.716129032258064</v>
      </c>
      <c r="F710">
        <v>0.04511278195488722</v>
      </c>
      <c r="G710">
        <v>-0.1023851842346527</v>
      </c>
      <c r="H710">
        <v>0.07000000000000001</v>
      </c>
      <c r="I710">
        <v>0.01861734563908435</v>
      </c>
      <c r="J710" t="s">
        <v>763</v>
      </c>
      <c r="K710" t="s">
        <v>498</v>
      </c>
      <c r="L710">
        <v>0.24</v>
      </c>
      <c r="M710">
        <v>0.24</v>
      </c>
      <c r="N710">
        <v>1</v>
      </c>
      <c r="O710">
        <v>0</v>
      </c>
      <c r="P710">
        <v>0.07214502590085092</v>
      </c>
      <c r="Q710">
        <v>1.119293830849683</v>
      </c>
      <c r="R710" t="s">
        <v>765</v>
      </c>
      <c r="S710" t="s">
        <v>778</v>
      </c>
      <c r="T710">
        <v>251.22141</v>
      </c>
      <c r="U710" s="2">
        <v>44438</v>
      </c>
      <c r="V710" t="s">
        <v>787</v>
      </c>
    </row>
    <row r="711" spans="1:22">
      <c r="A711" s="1" t="s">
        <v>731</v>
      </c>
      <c r="B711">
        <f>HYPERLINK("https://www.suredividend.com/sure-analysis-PEAK/","Healthpeak Properties Inc")</f>
        <v>0</v>
      </c>
      <c r="C711">
        <v>34.185</v>
      </c>
      <c r="D711">
        <v>24</v>
      </c>
      <c r="E711">
        <v>1.424375</v>
      </c>
      <c r="F711">
        <v>0.03510311540149188</v>
      </c>
      <c r="G711">
        <v>-0.06830206807151529</v>
      </c>
      <c r="H711">
        <v>0.05</v>
      </c>
      <c r="I711">
        <v>0.01714880734848845</v>
      </c>
      <c r="J711" t="s">
        <v>763</v>
      </c>
      <c r="K711" t="s">
        <v>498</v>
      </c>
      <c r="L711">
        <v>1.58</v>
      </c>
      <c r="M711">
        <v>1.2</v>
      </c>
      <c r="N711">
        <v>0.7594936708860759</v>
      </c>
      <c r="O711">
        <v>0</v>
      </c>
      <c r="P711">
        <v>0.03131030647754507</v>
      </c>
      <c r="Q711">
        <v>0.403483078875748</v>
      </c>
      <c r="R711" t="s">
        <v>767</v>
      </c>
      <c r="S711" t="s">
        <v>779</v>
      </c>
      <c r="T711">
        <v>18594.408834</v>
      </c>
      <c r="U711" s="2">
        <v>44434</v>
      </c>
      <c r="V711" t="s">
        <v>787</v>
      </c>
    </row>
    <row r="712" spans="1:22">
      <c r="A712" s="1" t="s">
        <v>732</v>
      </c>
      <c r="B712">
        <f>HYPERLINK("https://www.suredividend.com/sure-analysis-DRETF/","Dream Office Real Estate Investment Trust")</f>
        <v>0</v>
      </c>
      <c r="C712">
        <v>18.2795</v>
      </c>
      <c r="D712">
        <v>11</v>
      </c>
      <c r="E712">
        <v>1.661772727272727</v>
      </c>
      <c r="F712">
        <v>0.04540605596433163</v>
      </c>
      <c r="G712">
        <v>-0.09658837528980013</v>
      </c>
      <c r="H712">
        <v>0.075</v>
      </c>
      <c r="I712">
        <v>0.01663654984253182</v>
      </c>
      <c r="J712" t="s">
        <v>763</v>
      </c>
      <c r="K712" t="s">
        <v>358</v>
      </c>
      <c r="L712">
        <v>1.22</v>
      </c>
      <c r="M712">
        <v>0.83</v>
      </c>
      <c r="N712">
        <v>0.680327868852459</v>
      </c>
      <c r="O712">
        <v>0</v>
      </c>
      <c r="P712">
        <v>-0.00733575565369482</v>
      </c>
      <c r="Q712">
        <v>0.309682457799558</v>
      </c>
      <c r="R712" t="s">
        <v>765</v>
      </c>
      <c r="S712" t="s">
        <v>773</v>
      </c>
      <c r="T712">
        <v>926.306058</v>
      </c>
      <c r="U712" s="2">
        <v>44421</v>
      </c>
      <c r="V712" t="s">
        <v>790</v>
      </c>
    </row>
    <row r="713" spans="1:22">
      <c r="A713" s="1" t="s">
        <v>733</v>
      </c>
      <c r="B713">
        <f>HYPERLINK("https://www.suredividend.com/sure-analysis-CMP/","Compass Minerals International Inc")</f>
        <v>0</v>
      </c>
      <c r="C713">
        <v>62.25</v>
      </c>
      <c r="D713">
        <v>52</v>
      </c>
      <c r="E713">
        <v>1.197115384615385</v>
      </c>
      <c r="F713">
        <v>0.04626506024096386</v>
      </c>
      <c r="G713">
        <v>-0.03534327214041133</v>
      </c>
      <c r="H713">
        <v>0</v>
      </c>
      <c r="I713">
        <v>0.01299136822423641</v>
      </c>
      <c r="J713" t="s">
        <v>763</v>
      </c>
      <c r="K713" t="s">
        <v>498</v>
      </c>
      <c r="L713">
        <v>2.25</v>
      </c>
      <c r="M713">
        <v>2.88</v>
      </c>
      <c r="N713">
        <v>1.28</v>
      </c>
      <c r="O713">
        <v>0</v>
      </c>
      <c r="P713">
        <v>0</v>
      </c>
      <c r="Q713">
        <v>0.16784417697302</v>
      </c>
      <c r="R713" t="s">
        <v>765</v>
      </c>
      <c r="S713" t="s">
        <v>771</v>
      </c>
      <c r="T713">
        <v>2111.081476</v>
      </c>
      <c r="U713" s="2">
        <v>44432</v>
      </c>
      <c r="V713" t="s">
        <v>780</v>
      </c>
    </row>
    <row r="714" spans="1:22">
      <c r="A714" s="1" t="s">
        <v>734</v>
      </c>
      <c r="B714">
        <f>HYPERLINK("https://www.suredividend.com/sure-analysis-UBA/","Urstadt Biddle Properties, Inc.")</f>
        <v>0</v>
      </c>
      <c r="C714">
        <v>19.58</v>
      </c>
      <c r="D714">
        <v>14</v>
      </c>
      <c r="E714">
        <v>1.398571428571428</v>
      </c>
      <c r="F714">
        <v>0.04698672114402452</v>
      </c>
      <c r="G714">
        <v>-0.06488920697300959</v>
      </c>
      <c r="H714">
        <v>0.018</v>
      </c>
      <c r="I714">
        <v>0.008568202154366933</v>
      </c>
      <c r="J714" t="s">
        <v>763</v>
      </c>
      <c r="K714" t="s">
        <v>358</v>
      </c>
      <c r="L714">
        <v>1.37</v>
      </c>
      <c r="M714">
        <v>0.92</v>
      </c>
      <c r="N714">
        <v>0.6715328467153284</v>
      </c>
      <c r="O714">
        <v>0</v>
      </c>
      <c r="P714">
        <v>0.03638464900130689</v>
      </c>
      <c r="Q714">
        <v>1.482274017592321</v>
      </c>
      <c r="R714" t="s">
        <v>767</v>
      </c>
      <c r="S714" t="s">
        <v>779</v>
      </c>
      <c r="T714">
        <v>765.03355</v>
      </c>
      <c r="U714" s="2">
        <v>44452</v>
      </c>
      <c r="V714" t="s">
        <v>790</v>
      </c>
    </row>
    <row r="715" spans="1:22">
      <c r="A715" s="1" t="s">
        <v>735</v>
      </c>
      <c r="B715">
        <f>HYPERLINK("https://www.suredividend.com/sure-analysis-GLAD/","Gladstone Capital Corp.")</f>
        <v>0</v>
      </c>
      <c r="C715">
        <v>11.41</v>
      </c>
      <c r="D715">
        <v>8</v>
      </c>
      <c r="E715">
        <v>1.42625</v>
      </c>
      <c r="F715">
        <v>0.06836108676599474</v>
      </c>
      <c r="G715">
        <v>-0.06854716577255848</v>
      </c>
      <c r="H715">
        <v>0</v>
      </c>
      <c r="I715">
        <v>0.008445107665621787</v>
      </c>
      <c r="J715" t="s">
        <v>763</v>
      </c>
      <c r="K715" t="s">
        <v>358</v>
      </c>
      <c r="L715">
        <v>0.8</v>
      </c>
      <c r="M715">
        <v>0.78</v>
      </c>
      <c r="N715">
        <v>0.975</v>
      </c>
      <c r="O715">
        <v>0</v>
      </c>
      <c r="P715">
        <v>0</v>
      </c>
      <c r="Q715">
        <v>0.663990658298058</v>
      </c>
      <c r="R715" t="s">
        <v>765</v>
      </c>
      <c r="S715" t="s">
        <v>773</v>
      </c>
      <c r="T715">
        <v>391.069829</v>
      </c>
      <c r="U715" s="2">
        <v>44424</v>
      </c>
      <c r="V715" t="s">
        <v>785</v>
      </c>
    </row>
    <row r="716" spans="1:22">
      <c r="A716" s="1" t="s">
        <v>736</v>
      </c>
      <c r="B716">
        <f>HYPERLINK("https://www.suredividend.com/sure-analysis-ABR/","Arbor Realty Trust Inc.")</f>
        <v>0</v>
      </c>
      <c r="C716">
        <v>18.34</v>
      </c>
      <c r="D716">
        <v>11.4</v>
      </c>
      <c r="E716">
        <v>1.608771929824561</v>
      </c>
      <c r="F716">
        <v>0.07633587786259542</v>
      </c>
      <c r="G716">
        <v>-0.09071274469158663</v>
      </c>
      <c r="H716">
        <v>0.01</v>
      </c>
      <c r="I716">
        <v>0.006899919798665</v>
      </c>
      <c r="J716" t="s">
        <v>763</v>
      </c>
      <c r="K716" t="s">
        <v>358</v>
      </c>
      <c r="L716">
        <v>1.6</v>
      </c>
      <c r="M716">
        <v>1.4</v>
      </c>
      <c r="N716">
        <v>0.8749999999999999</v>
      </c>
      <c r="O716">
        <v>8</v>
      </c>
      <c r="P716">
        <v>0</v>
      </c>
      <c r="Q716">
        <v>0.8038021319447851</v>
      </c>
      <c r="R716" t="s">
        <v>767</v>
      </c>
      <c r="S716" t="s">
        <v>779</v>
      </c>
      <c r="T716">
        <v>2609.992257</v>
      </c>
      <c r="U716" s="2">
        <v>44420</v>
      </c>
      <c r="V716" t="s">
        <v>790</v>
      </c>
    </row>
    <row r="717" spans="1:22">
      <c r="A717" s="1" t="s">
        <v>737</v>
      </c>
      <c r="B717">
        <f>HYPERLINK("https://www.suredividend.com/sure-analysis-CRT/","Cross Timbers Royalty Trust")</f>
        <v>0</v>
      </c>
      <c r="C717">
        <v>14.115</v>
      </c>
      <c r="D717">
        <v>9</v>
      </c>
      <c r="E717">
        <v>1.568333333333333</v>
      </c>
      <c r="F717">
        <v>0.07084661707403471</v>
      </c>
      <c r="G717">
        <v>-0.08607127948255944</v>
      </c>
      <c r="H717">
        <v>0.01</v>
      </c>
      <c r="I717">
        <v>0.006891460205442401</v>
      </c>
      <c r="J717" t="s">
        <v>763</v>
      </c>
      <c r="K717" t="s">
        <v>358</v>
      </c>
      <c r="L717">
        <v>1</v>
      </c>
      <c r="M717">
        <v>1</v>
      </c>
      <c r="N717">
        <v>1</v>
      </c>
      <c r="O717">
        <v>0</v>
      </c>
      <c r="P717">
        <v>0.009805797673485328</v>
      </c>
      <c r="Q717">
        <v>1.585639927090967</v>
      </c>
      <c r="R717" t="s">
        <v>765</v>
      </c>
      <c r="S717" t="s">
        <v>778</v>
      </c>
      <c r="T717">
        <v>82.56</v>
      </c>
      <c r="U717" s="2">
        <v>44438</v>
      </c>
      <c r="V717" t="s">
        <v>787</v>
      </c>
    </row>
    <row r="718" spans="1:22">
      <c r="A718" s="1" t="s">
        <v>738</v>
      </c>
      <c r="B718">
        <f>HYPERLINK("https://www.suredividend.com/sure-analysis-CODI/","Compass Diversified Holdings")</f>
        <v>0</v>
      </c>
      <c r="C718">
        <v>28.15</v>
      </c>
      <c r="D718">
        <v>18</v>
      </c>
      <c r="E718">
        <v>1.563888888888889</v>
      </c>
      <c r="F718">
        <v>0.05115452930728242</v>
      </c>
      <c r="G718">
        <v>-0.08555240683504362</v>
      </c>
      <c r="H718">
        <v>0.04</v>
      </c>
      <c r="I718">
        <v>0.006658531218739938</v>
      </c>
      <c r="J718" t="s">
        <v>763</v>
      </c>
      <c r="K718" t="s">
        <v>358</v>
      </c>
      <c r="L718">
        <v>1.75</v>
      </c>
      <c r="M718">
        <v>1.44</v>
      </c>
      <c r="N718">
        <v>0.8228571428571428</v>
      </c>
      <c r="O718">
        <v>0</v>
      </c>
      <c r="P718">
        <v>0</v>
      </c>
      <c r="Q718">
        <v>0.8295167986958401</v>
      </c>
      <c r="R718" t="s">
        <v>765</v>
      </c>
      <c r="S718" t="s">
        <v>772</v>
      </c>
      <c r="T718">
        <v>1864.577</v>
      </c>
      <c r="U718" s="2">
        <v>44408</v>
      </c>
      <c r="V718" t="s">
        <v>783</v>
      </c>
    </row>
    <row r="719" spans="1:22">
      <c r="A719" s="1" t="s">
        <v>739</v>
      </c>
      <c r="B719">
        <f>HYPERLINK("https://www.suredividend.com/sure-analysis-MPC/","Marathon Petroleum Corp")</f>
        <v>0</v>
      </c>
      <c r="C719">
        <v>62.175</v>
      </c>
      <c r="D719">
        <v>49</v>
      </c>
      <c r="E719">
        <v>1.268877551020408</v>
      </c>
      <c r="F719">
        <v>0.03731403297145155</v>
      </c>
      <c r="G719">
        <v>-0.04651018749628555</v>
      </c>
      <c r="H719">
        <v>0.01</v>
      </c>
      <c r="I719">
        <v>0.004090474088927598</v>
      </c>
      <c r="J719" t="s">
        <v>763</v>
      </c>
      <c r="K719" t="s">
        <v>498</v>
      </c>
      <c r="L719">
        <v>0.6</v>
      </c>
      <c r="M719">
        <v>2.32</v>
      </c>
      <c r="N719">
        <v>3.866666666666667</v>
      </c>
      <c r="O719">
        <v>9</v>
      </c>
      <c r="P719">
        <v>0.01013720758985226</v>
      </c>
      <c r="Q719">
        <v>1.225006480601399</v>
      </c>
      <c r="R719" t="s">
        <v>765</v>
      </c>
      <c r="S719" t="s">
        <v>778</v>
      </c>
      <c r="T719">
        <v>39440.8946</v>
      </c>
      <c r="U719" s="2">
        <v>44427</v>
      </c>
      <c r="V719" t="s">
        <v>787</v>
      </c>
    </row>
    <row r="720" spans="1:22">
      <c r="A720" s="1" t="s">
        <v>740</v>
      </c>
      <c r="B720">
        <f>HYPERLINK("https://www.suredividend.com/sure-analysis-LAND/","Gladstone Land Corp")</f>
        <v>0</v>
      </c>
      <c r="C720">
        <v>22.085</v>
      </c>
      <c r="D720">
        <v>14</v>
      </c>
      <c r="E720">
        <v>1.5775</v>
      </c>
      <c r="F720">
        <v>0.02445098483133348</v>
      </c>
      <c r="G720">
        <v>-0.08713590335476606</v>
      </c>
      <c r="H720">
        <v>0.06</v>
      </c>
      <c r="I720">
        <v>-0.003514671711545403</v>
      </c>
      <c r="J720" t="s">
        <v>763</v>
      </c>
      <c r="K720" t="s">
        <v>763</v>
      </c>
      <c r="L720">
        <v>0.65</v>
      </c>
      <c r="M720">
        <v>0.54</v>
      </c>
      <c r="N720">
        <v>0.8307692307692308</v>
      </c>
      <c r="O720">
        <v>7</v>
      </c>
      <c r="P720">
        <v>0.03131030647754507</v>
      </c>
      <c r="Q720">
        <v>0.5692908815493291</v>
      </c>
      <c r="R720" t="s">
        <v>767</v>
      </c>
      <c r="S720" t="s">
        <v>779</v>
      </c>
      <c r="T720">
        <v>694.527327</v>
      </c>
      <c r="U720" s="2">
        <v>44424</v>
      </c>
      <c r="V720" t="s">
        <v>785</v>
      </c>
    </row>
    <row r="721" spans="1:22">
      <c r="A721" s="1" t="s">
        <v>741</v>
      </c>
      <c r="B721">
        <f>HYPERLINK("https://www.suredividend.com/sure-analysis-PPRQF/","Choice Properties Real Estate Investment Trust")</f>
        <v>0</v>
      </c>
      <c r="C721">
        <v>11.7733</v>
      </c>
      <c r="D721">
        <v>6.6</v>
      </c>
      <c r="E721">
        <v>1.783833333333334</v>
      </c>
      <c r="F721">
        <v>0.05011339216702199</v>
      </c>
      <c r="G721">
        <v>-0.1093047321077629</v>
      </c>
      <c r="H721">
        <v>0.052</v>
      </c>
      <c r="I721">
        <v>-0.006533091609440489</v>
      </c>
      <c r="J721" t="s">
        <v>763</v>
      </c>
      <c r="K721" t="s">
        <v>498</v>
      </c>
      <c r="L721">
        <v>0.66</v>
      </c>
      <c r="M721">
        <v>0.59</v>
      </c>
      <c r="N721">
        <v>0.8939393939393938</v>
      </c>
      <c r="O721">
        <v>1</v>
      </c>
      <c r="P721">
        <v>-0.006873503878979115</v>
      </c>
      <c r="Q721">
        <v>0.252492047787742</v>
      </c>
      <c r="R721" t="s">
        <v>767</v>
      </c>
      <c r="S721" t="s">
        <v>773</v>
      </c>
      <c r="T721">
        <v>3854.132483</v>
      </c>
      <c r="U721" s="2">
        <v>44415</v>
      </c>
      <c r="V721" t="s">
        <v>790</v>
      </c>
    </row>
    <row r="722" spans="1:22">
      <c r="A722" s="1" t="s">
        <v>742</v>
      </c>
      <c r="B722">
        <f>HYPERLINK("https://www.suredividend.com/sure-analysis-GWRS/","Global Water Resources Inc")</f>
        <v>0</v>
      </c>
      <c r="C722">
        <v>18.63</v>
      </c>
      <c r="D722">
        <v>12</v>
      </c>
      <c r="E722">
        <v>1.5525</v>
      </c>
      <c r="F722">
        <v>0.01556629092860977</v>
      </c>
      <c r="G722">
        <v>-0.08421467851338027</v>
      </c>
      <c r="H722">
        <v>0.06</v>
      </c>
      <c r="I722">
        <v>-0.01133820635411731</v>
      </c>
      <c r="J722" t="s">
        <v>763</v>
      </c>
      <c r="K722" t="s">
        <v>763</v>
      </c>
      <c r="L722">
        <v>0.4</v>
      </c>
      <c r="M722">
        <v>0.29</v>
      </c>
      <c r="N722">
        <v>0.7249999999999999</v>
      </c>
      <c r="O722">
        <v>6</v>
      </c>
      <c r="P722">
        <v>0.01988310171094443</v>
      </c>
      <c r="Q722">
        <v>0.757228555446251</v>
      </c>
      <c r="R722" t="s">
        <v>765</v>
      </c>
      <c r="S722" t="s">
        <v>776</v>
      </c>
      <c r="T722">
        <v>412.144326</v>
      </c>
      <c r="U722" s="2">
        <v>44415</v>
      </c>
      <c r="V722" t="s">
        <v>780</v>
      </c>
    </row>
    <row r="723" spans="1:22">
      <c r="A723" s="1" t="s">
        <v>743</v>
      </c>
      <c r="B723">
        <f>HYPERLINK("https://www.suredividend.com/sure-analysis-DREUF/","Dream Industrial Real Estate Investment Trust")</f>
        <v>0</v>
      </c>
      <c r="C723">
        <v>13.28</v>
      </c>
      <c r="D723">
        <v>8</v>
      </c>
      <c r="E723">
        <v>1.66</v>
      </c>
      <c r="F723">
        <v>0.04367469879518072</v>
      </c>
      <c r="G723">
        <v>-0.09639550555959131</v>
      </c>
      <c r="H723">
        <v>0.035</v>
      </c>
      <c r="I723">
        <v>-0.01217723829923645</v>
      </c>
      <c r="J723" t="s">
        <v>763</v>
      </c>
      <c r="K723" t="s">
        <v>498</v>
      </c>
      <c r="L723">
        <v>0.65</v>
      </c>
      <c r="M723">
        <v>0.58</v>
      </c>
      <c r="N723">
        <v>0.8923076923076922</v>
      </c>
      <c r="O723">
        <v>0</v>
      </c>
      <c r="P723">
        <v>0.01013720758985226</v>
      </c>
      <c r="Q723">
        <v>0.6195121951219511</v>
      </c>
      <c r="R723" t="s">
        <v>767</v>
      </c>
      <c r="S723" t="s">
        <v>773</v>
      </c>
      <c r="T723">
        <v>2786.343399</v>
      </c>
      <c r="U723" s="2">
        <v>44418</v>
      </c>
      <c r="V723" t="s">
        <v>782</v>
      </c>
    </row>
    <row r="724" spans="1:22">
      <c r="A724" s="1" t="s">
        <v>744</v>
      </c>
      <c r="B724">
        <f>HYPERLINK("https://www.suredividend.com/sure-analysis-HP/","Helmerich &amp; Payne, Inc.")</f>
        <v>0</v>
      </c>
      <c r="C724">
        <v>26.84</v>
      </c>
      <c r="D724">
        <v>9</v>
      </c>
      <c r="E724">
        <v>2.982222222222222</v>
      </c>
      <c r="F724">
        <v>0.03725782414307004</v>
      </c>
      <c r="G724">
        <v>-0.1963036433165355</v>
      </c>
      <c r="H724">
        <v>0.17</v>
      </c>
      <c r="I724">
        <v>-0.01622573202323585</v>
      </c>
      <c r="J724" t="s">
        <v>763</v>
      </c>
      <c r="K724" t="s">
        <v>498</v>
      </c>
      <c r="L724">
        <v>0.55</v>
      </c>
      <c r="M724">
        <v>1</v>
      </c>
      <c r="N724">
        <v>1.818181818181818</v>
      </c>
      <c r="O724">
        <v>0</v>
      </c>
      <c r="P724">
        <v>0</v>
      </c>
      <c r="Q724">
        <v>0.9816565375419161</v>
      </c>
      <c r="R724" t="s">
        <v>765</v>
      </c>
      <c r="S724" t="s">
        <v>778</v>
      </c>
      <c r="T724">
        <v>2888.450394</v>
      </c>
      <c r="U724" s="2">
        <v>44427</v>
      </c>
      <c r="V724" t="s">
        <v>787</v>
      </c>
    </row>
    <row r="725" spans="1:22">
      <c r="A725" s="1" t="s">
        <v>745</v>
      </c>
      <c r="B725">
        <f>HYPERLINK("https://www.suredividend.com/sure-analysis-WELL/","Welltower Inc")</f>
        <v>0</v>
      </c>
      <c r="C725">
        <v>84.20999999999999</v>
      </c>
      <c r="D725">
        <v>56</v>
      </c>
      <c r="E725">
        <v>1.50375</v>
      </c>
      <c r="F725">
        <v>0.02897518109488184</v>
      </c>
      <c r="G725">
        <v>-0.07835245215844733</v>
      </c>
      <c r="H725">
        <v>0.012</v>
      </c>
      <c r="I725">
        <v>-0.01627320906082808</v>
      </c>
      <c r="J725" t="s">
        <v>763</v>
      </c>
      <c r="K725" t="s">
        <v>763</v>
      </c>
      <c r="L725">
        <v>3.19</v>
      </c>
      <c r="M725">
        <v>2.44</v>
      </c>
      <c r="N725">
        <v>0.7648902821316614</v>
      </c>
      <c r="O725">
        <v>0</v>
      </c>
      <c r="P725">
        <v>0.1352031853464852</v>
      </c>
      <c r="Q725">
        <v>0.709643714556896</v>
      </c>
      <c r="R725" t="s">
        <v>767</v>
      </c>
      <c r="S725" t="s">
        <v>779</v>
      </c>
      <c r="T725">
        <v>36230.53773</v>
      </c>
      <c r="U725" s="2">
        <v>44418</v>
      </c>
      <c r="V725" t="s">
        <v>789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15.28</v>
      </c>
      <c r="D726">
        <v>11.6</v>
      </c>
      <c r="E726">
        <v>1.317241379310345</v>
      </c>
      <c r="F726">
        <v>0.09162303664921466</v>
      </c>
      <c r="G726">
        <v>-0.05361700741916342</v>
      </c>
      <c r="H726">
        <v>-0.07199999999999999</v>
      </c>
      <c r="I726">
        <v>-0.02116721229496088</v>
      </c>
      <c r="J726" t="s">
        <v>763</v>
      </c>
      <c r="K726" t="s">
        <v>358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1.007419295430029</v>
      </c>
      <c r="R726" t="s">
        <v>767</v>
      </c>
      <c r="S726" t="s">
        <v>779</v>
      </c>
      <c r="T726">
        <v>2134.783356</v>
      </c>
      <c r="U726" s="2">
        <v>44411</v>
      </c>
      <c r="V726" t="s">
        <v>790</v>
      </c>
    </row>
    <row r="727" spans="1:22">
      <c r="A727" s="1" t="s">
        <v>747</v>
      </c>
      <c r="B727">
        <f>HYPERLINK("https://www.suredividend.com/sure-analysis-OXY/","Occidental Petroleum Corp.")</f>
        <v>0</v>
      </c>
      <c r="C727">
        <v>28.31</v>
      </c>
      <c r="D727">
        <v>18</v>
      </c>
      <c r="E727">
        <v>1.572777777777778</v>
      </c>
      <c r="F727">
        <v>0.001412928293889085</v>
      </c>
      <c r="G727">
        <v>-0.08658839062527535</v>
      </c>
      <c r="H727">
        <v>0.06</v>
      </c>
      <c r="I727">
        <v>-0.02587178274398461</v>
      </c>
      <c r="J727" t="s">
        <v>763</v>
      </c>
      <c r="K727" t="s">
        <v>763</v>
      </c>
      <c r="L727">
        <v>-0.8</v>
      </c>
      <c r="M727">
        <v>0.04</v>
      </c>
      <c r="N727">
        <v>9.99</v>
      </c>
      <c r="O727">
        <v>0</v>
      </c>
      <c r="P727">
        <v>0.4757731615945522</v>
      </c>
      <c r="Q727">
        <v>1.690194644626827</v>
      </c>
      <c r="R727" t="s">
        <v>765</v>
      </c>
      <c r="S727" t="s">
        <v>778</v>
      </c>
      <c r="T727">
        <v>26107.220451</v>
      </c>
      <c r="U727" s="2">
        <v>44433</v>
      </c>
      <c r="V727" t="s">
        <v>787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52.14</v>
      </c>
      <c r="D728">
        <v>34.7</v>
      </c>
      <c r="E728">
        <v>1.502593659942363</v>
      </c>
      <c r="F728">
        <v>0.0698120444955888</v>
      </c>
      <c r="G728">
        <v>-0.07821064268626521</v>
      </c>
      <c r="H728">
        <v>-0.049</v>
      </c>
      <c r="I728">
        <v>-0.03682000449344836</v>
      </c>
      <c r="J728" t="s">
        <v>763</v>
      </c>
      <c r="K728" t="s">
        <v>358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1.09528339534265</v>
      </c>
      <c r="R728" t="s">
        <v>765</v>
      </c>
      <c r="S728" t="s">
        <v>773</v>
      </c>
      <c r="T728">
        <v>5188.061736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124.54</v>
      </c>
      <c r="D729">
        <v>57</v>
      </c>
      <c r="E729">
        <v>2.184912280701754</v>
      </c>
      <c r="F729">
        <v>0.02424923719286976</v>
      </c>
      <c r="G729">
        <v>-0.1447103849267317</v>
      </c>
      <c r="H729">
        <v>0.05</v>
      </c>
      <c r="I729">
        <v>-0.06444494474437745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1.599907942515215</v>
      </c>
      <c r="R729" t="s">
        <v>765</v>
      </c>
      <c r="S729" t="s">
        <v>773</v>
      </c>
      <c r="T729">
        <v>87177.20058400001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5.79</v>
      </c>
      <c r="D730">
        <v>3.1</v>
      </c>
      <c r="E730">
        <v>1.867741935483871</v>
      </c>
      <c r="F730">
        <v>0.01036269430051814</v>
      </c>
      <c r="G730">
        <v>-0.1174554730841221</v>
      </c>
      <c r="H730">
        <v>0.026</v>
      </c>
      <c r="I730">
        <v>-0.07683339045959769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1.3193359375</v>
      </c>
      <c r="R730" t="s">
        <v>765</v>
      </c>
      <c r="S730" t="s">
        <v>773</v>
      </c>
      <c r="T730">
        <v>73.97730799999999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20.125</v>
      </c>
      <c r="D731">
        <v>5.55</v>
      </c>
      <c r="E731">
        <v>3.626126126126126</v>
      </c>
      <c r="F731">
        <v>0.01590062111801242</v>
      </c>
      <c r="G731">
        <v>-0.2271211572604702</v>
      </c>
      <c r="H731">
        <v>0.1</v>
      </c>
      <c r="I731">
        <v>-0.121367658511226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1.702121944668278</v>
      </c>
      <c r="R731" t="s">
        <v>765</v>
      </c>
      <c r="S731" t="s">
        <v>772</v>
      </c>
      <c r="T731">
        <v>2676.144742</v>
      </c>
      <c r="U731" s="2">
        <v>44423</v>
      </c>
      <c r="V731" t="s">
        <v>786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8.73</v>
      </c>
      <c r="D732">
        <v>5.95</v>
      </c>
      <c r="E732">
        <v>1.467226890756303</v>
      </c>
      <c r="F732">
        <v>0.009163802978235968</v>
      </c>
      <c r="G732">
        <v>-0.07380902588922955</v>
      </c>
      <c r="H732">
        <v>-0.1</v>
      </c>
      <c r="I732">
        <v>-0.1482574503169859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2.007835834006817</v>
      </c>
      <c r="R732" t="s">
        <v>765</v>
      </c>
      <c r="S732" t="s">
        <v>778</v>
      </c>
      <c r="T732">
        <v>1618.086348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44.935</v>
      </c>
      <c r="D733">
        <v>12</v>
      </c>
      <c r="E733">
        <v>3.744583333333333</v>
      </c>
      <c r="F733">
        <v>0.000222543674196061</v>
      </c>
      <c r="G733">
        <v>-0.2320741271846422</v>
      </c>
      <c r="H733">
        <v>0.06</v>
      </c>
      <c r="I733">
        <v>-0.1824569443266827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1.088957299186406</v>
      </c>
      <c r="R733" t="s">
        <v>765</v>
      </c>
      <c r="S733" t="s">
        <v>775</v>
      </c>
      <c r="T733">
        <v>21515.958833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7.12</v>
      </c>
      <c r="D734">
        <v>10.16</v>
      </c>
      <c r="E734">
        <v>0.7007874015748031</v>
      </c>
      <c r="F734">
        <v>0</v>
      </c>
      <c r="G734">
        <v>0.07369948020836015</v>
      </c>
      <c r="H734">
        <v>-0.05</v>
      </c>
      <c r="I734">
        <v>0.1004750728359667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-0.291804454360731</v>
      </c>
      <c r="R734" t="s">
        <v>767</v>
      </c>
      <c r="S734" t="s">
        <v>779</v>
      </c>
      <c r="T734">
        <v>871.356999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32.335</v>
      </c>
      <c r="D735">
        <v>39</v>
      </c>
      <c r="E735">
        <v>0.8291025641025641</v>
      </c>
      <c r="F735">
        <v>0</v>
      </c>
      <c r="G735">
        <v>0.03819360246024339</v>
      </c>
      <c r="H735">
        <v>0.03</v>
      </c>
      <c r="I735">
        <v>0.08850735179864522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0.654736260418852</v>
      </c>
      <c r="R735" t="s">
        <v>765</v>
      </c>
      <c r="S735" t="s">
        <v>778</v>
      </c>
      <c r="T735">
        <v>5254.931968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12.565</v>
      </c>
      <c r="D736">
        <v>11</v>
      </c>
      <c r="E736">
        <v>1.142272727272727</v>
      </c>
      <c r="F736">
        <v>0</v>
      </c>
      <c r="G736">
        <v>-0.02625321126860358</v>
      </c>
      <c r="H736">
        <v>0.05</v>
      </c>
      <c r="I736">
        <v>0.04740245169635826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0.8367346938775501</v>
      </c>
      <c r="R736" t="s">
        <v>767</v>
      </c>
      <c r="S736" t="s">
        <v>779</v>
      </c>
      <c r="T736">
        <v>614.33854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29.13</v>
      </c>
      <c r="D737">
        <v>17</v>
      </c>
      <c r="E737">
        <v>1.713529411764706</v>
      </c>
      <c r="F737">
        <v>0</v>
      </c>
      <c r="G737">
        <v>-0.1021129924540379</v>
      </c>
      <c r="H737">
        <v>0.15</v>
      </c>
      <c r="I737">
        <v>0.03257005867785634</v>
      </c>
      <c r="J737" t="s">
        <v>764</v>
      </c>
      <c r="K737" t="s">
        <v>764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1.0638750887154</v>
      </c>
      <c r="R737" t="s">
        <v>765</v>
      </c>
      <c r="S737" t="s">
        <v>772</v>
      </c>
      <c r="T737">
        <v>9211.613614</v>
      </c>
      <c r="U737" s="2">
        <v>44435</v>
      </c>
      <c r="V737" t="s">
        <v>787</v>
      </c>
    </row>
    <row r="738" spans="1:22">
      <c r="A738" s="1" t="s">
        <v>758</v>
      </c>
      <c r="B738">
        <f>HYPERLINK("https://www.suredividend.com/sure-analysis-NGL/","NGL Energy Partners LP")</f>
        <v>0</v>
      </c>
      <c r="C738">
        <v>2.28</v>
      </c>
      <c r="D738">
        <v>3</v>
      </c>
      <c r="E738">
        <v>0.7600000000000001</v>
      </c>
      <c r="F738">
        <v>0</v>
      </c>
      <c r="G738">
        <v>0.05642162229904302</v>
      </c>
      <c r="H738">
        <v>-0.025</v>
      </c>
      <c r="I738">
        <v>0.03001108174156686</v>
      </c>
      <c r="J738" t="s">
        <v>764</v>
      </c>
      <c r="K738" t="s">
        <v>764</v>
      </c>
      <c r="L738">
        <v>1</v>
      </c>
      <c r="M738">
        <v>0</v>
      </c>
      <c r="N738">
        <v>0</v>
      </c>
      <c r="O738">
        <v>0</v>
      </c>
      <c r="P738">
        <v>0</v>
      </c>
      <c r="Q738">
        <v>-0.333670464348395</v>
      </c>
      <c r="R738" t="s">
        <v>766</v>
      </c>
      <c r="S738" t="s">
        <v>778</v>
      </c>
      <c r="T738">
        <v>290.290423</v>
      </c>
      <c r="U738" s="2">
        <v>44442</v>
      </c>
      <c r="V738" t="s">
        <v>782</v>
      </c>
    </row>
    <row r="739" spans="1:22">
      <c r="A739" s="1" t="s">
        <v>759</v>
      </c>
      <c r="B739">
        <f>HYPERLINK("https://www.suredividend.com/sure-analysis-PK/","Park Hotels &amp; Resorts Inc")</f>
        <v>0</v>
      </c>
      <c r="C739">
        <v>20.44</v>
      </c>
      <c r="D739">
        <v>18</v>
      </c>
      <c r="E739">
        <v>1.135555555555556</v>
      </c>
      <c r="F739">
        <v>0</v>
      </c>
      <c r="G739">
        <v>-0.02510392312712495</v>
      </c>
      <c r="H739">
        <v>0.015</v>
      </c>
      <c r="I739">
        <v>0.02645961394286123</v>
      </c>
      <c r="J739" t="s">
        <v>764</v>
      </c>
      <c r="K739" t="s">
        <v>764</v>
      </c>
      <c r="L739">
        <v>-0.7</v>
      </c>
      <c r="M739">
        <v>0</v>
      </c>
      <c r="N739">
        <v>-0</v>
      </c>
      <c r="O739">
        <v>0</v>
      </c>
      <c r="P739">
        <v>0.07999957023861581</v>
      </c>
      <c r="Q739">
        <v>1.194776931447225</v>
      </c>
      <c r="R739" t="s">
        <v>767</v>
      </c>
      <c r="S739" t="s">
        <v>779</v>
      </c>
      <c r="T739">
        <v>4770.061692</v>
      </c>
      <c r="U739" s="2">
        <v>44424</v>
      </c>
      <c r="V739" t="s">
        <v>782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3.0255</v>
      </c>
      <c r="D740">
        <v>2.16</v>
      </c>
      <c r="E740">
        <v>1.400694444444444</v>
      </c>
      <c r="F740">
        <v>0</v>
      </c>
      <c r="G740">
        <v>-0.06517284624511721</v>
      </c>
      <c r="H740">
        <v>0.03</v>
      </c>
      <c r="I740">
        <v>-0.004769658896851214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0.7288571428571421</v>
      </c>
      <c r="R740" t="s">
        <v>765</v>
      </c>
      <c r="S740" t="s">
        <v>772</v>
      </c>
      <c r="T740">
        <v>537.482762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775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774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588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701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695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421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758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607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614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631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618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660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511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470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669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730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703</v>
      </c>
      <c r="B293">
        <v>43826</v>
      </c>
    </row>
    <row r="294" spans="1:2">
      <c r="A294" s="1" t="s">
        <v>469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575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690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549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712</v>
      </c>
      <c r="B341">
        <v>43853</v>
      </c>
    </row>
    <row r="342" spans="1:2">
      <c r="A342" s="1" t="s">
        <v>644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657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350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338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482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665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671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687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737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682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693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650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689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711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449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578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709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648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413</v>
      </c>
      <c r="B483">
        <v>43832</v>
      </c>
    </row>
    <row r="484" spans="1:2">
      <c r="A484" s="1" t="s">
        <v>389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676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759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684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692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540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658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626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616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736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673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747</v>
      </c>
      <c r="B629">
        <v>43845</v>
      </c>
    </row>
    <row r="630" spans="1:2">
      <c r="A630" s="1" t="s">
        <v>639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563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735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467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679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715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722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716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686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354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435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248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680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628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677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670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349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656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366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697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702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714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507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210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619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744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339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719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666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478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638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597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675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615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654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559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625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728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238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506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613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738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188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503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707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573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727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224</v>
      </c>
      <c r="B1527">
        <v>43830</v>
      </c>
    </row>
    <row r="1528" spans="1:2">
      <c r="A1528" s="1" t="s">
        <v>364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562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403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528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608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410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581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466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319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525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717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622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505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688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468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546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385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572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365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471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708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733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194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518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256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629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552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723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502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734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664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565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647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408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729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498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539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745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637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699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268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567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604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343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694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558</v>
      </c>
      <c r="B2124" t="s">
        <v>764</v>
      </c>
    </row>
    <row r="2125" spans="1:2">
      <c r="A2125" s="1" t="s">
        <v>557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486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635</v>
      </c>
      <c r="B2147">
        <v>43861</v>
      </c>
    </row>
    <row r="2148" spans="1:2">
      <c r="A2148" s="1" t="s">
        <v>634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585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520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561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516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402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674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407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523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740</v>
      </c>
      <c r="B2257">
        <v>43830</v>
      </c>
    </row>
    <row r="2258" spans="1:2">
      <c r="A2258" s="1" t="s">
        <v>228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419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215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84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595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537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713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205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667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489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217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351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420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390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662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174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244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475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538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426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582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252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547</v>
      </c>
      <c r="B2436">
        <v>43832</v>
      </c>
    </row>
    <row r="2437" spans="1:2">
      <c r="A2437" s="1" t="s">
        <v>527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192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481</v>
      </c>
      <c r="B2444">
        <v>43823</v>
      </c>
    </row>
    <row r="2445" spans="1:2">
      <c r="A2445" s="1" t="s">
        <v>641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476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430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398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277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447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198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483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387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700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484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61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663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429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41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681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574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508</v>
      </c>
      <c r="B2584">
        <v>43846</v>
      </c>
    </row>
    <row r="2585" spans="1:2">
      <c r="A2585" s="1" t="s">
        <v>433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378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580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642</v>
      </c>
      <c r="B2602">
        <v>43798</v>
      </c>
    </row>
    <row r="2603" spans="1:2">
      <c r="A2603" s="1" t="s">
        <v>325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264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718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179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391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135</v>
      </c>
      <c r="B2652">
        <v>43832</v>
      </c>
    </row>
    <row r="2653" spans="1:2">
      <c r="A2653" s="1" t="s">
        <v>496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554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346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386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495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341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630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362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227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218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375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661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337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739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249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368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233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211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66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678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514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698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265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48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273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185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393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473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63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440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50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521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203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47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242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617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418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361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534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370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261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512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320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232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64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643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651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253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599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239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414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176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683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560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491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328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600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247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726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553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380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201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590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251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504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416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445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431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425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384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209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301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551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356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399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180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474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186</v>
      </c>
      <c r="B3325">
        <v>43892</v>
      </c>
    </row>
    <row r="3326" spans="1:2">
      <c r="A3326" s="1" t="s">
        <v>336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345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255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263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721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556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67</v>
      </c>
      <c r="B3364">
        <v>43818</v>
      </c>
    </row>
    <row r="3365" spans="1:2">
      <c r="A3365" s="1" t="s">
        <v>278</v>
      </c>
      <c r="B3365">
        <v>43837</v>
      </c>
    </row>
    <row r="3366" spans="1:2">
      <c r="A3366" s="1" t="s">
        <v>43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280</v>
      </c>
      <c r="B3374">
        <v>43763</v>
      </c>
    </row>
    <row r="3375" spans="1:2">
      <c r="A3375" s="1" t="s">
        <v>275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85</v>
      </c>
      <c r="B3400">
        <v>43845</v>
      </c>
    </row>
    <row r="3401" spans="1:2">
      <c r="A3401" s="1" t="s">
        <v>347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177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479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355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102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200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240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54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51</v>
      </c>
      <c r="B3463">
        <v>43845</v>
      </c>
    </row>
    <row r="3464" spans="1:2">
      <c r="A3464" s="1" t="s">
        <v>181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620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515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115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235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230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594</v>
      </c>
      <c r="B3529">
        <v>43801</v>
      </c>
    </row>
    <row r="3530" spans="1:2">
      <c r="A3530" s="1" t="s">
        <v>69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196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342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724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304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119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535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191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358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72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388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229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409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223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584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184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404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598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281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208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139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237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204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276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287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381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31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555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379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93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122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382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127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322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587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310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73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352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522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437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36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742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99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550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105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109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321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70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254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221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405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267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81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332</v>
      </c>
      <c r="B4106">
        <v>43784</v>
      </c>
    </row>
    <row r="4107" spans="1:2">
      <c r="A4107" s="1" t="s">
        <v>443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636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103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333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216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97</v>
      </c>
      <c r="B4199">
        <v>43812</v>
      </c>
    </row>
    <row r="4200" spans="1:2">
      <c r="A4200" s="1" t="s">
        <v>197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104</v>
      </c>
      <c r="B4207">
        <v>43879</v>
      </c>
    </row>
    <row r="4208" spans="1:2">
      <c r="A4208" s="1" t="s">
        <v>219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646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37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303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653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114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423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359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79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128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383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120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704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78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108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300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453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456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262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121</v>
      </c>
      <c r="B4409">
        <v>43840</v>
      </c>
    </row>
    <row r="4410" spans="1:2">
      <c r="A4410" s="1" t="s">
        <v>394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137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95</v>
      </c>
      <c r="B4446">
        <v>43801</v>
      </c>
    </row>
    <row r="4447" spans="1:2">
      <c r="A4447" s="1" t="s">
        <v>92</v>
      </c>
      <c r="B4447">
        <v>43815</v>
      </c>
    </row>
    <row r="4448" spans="1:2">
      <c r="A4448" s="1" t="s">
        <v>86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32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134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488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291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75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290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213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42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57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331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289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112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309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260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279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487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152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294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306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25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593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282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77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199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259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113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34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117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296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444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509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182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116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44</v>
      </c>
      <c r="B4809">
        <v>43816</v>
      </c>
    </row>
    <row r="4810" spans="1:2">
      <c r="A4810" s="1" t="s">
        <v>376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143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274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422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222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424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510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372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257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517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56</v>
      </c>
      <c r="B4969">
        <v>43823</v>
      </c>
    </row>
    <row r="4970" spans="1:2">
      <c r="A4970" s="1" t="s">
        <v>270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529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212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236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367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49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38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603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68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60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195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98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29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118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397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569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544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159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149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150</v>
      </c>
      <c r="B5207">
        <v>43871</v>
      </c>
    </row>
    <row r="5208" spans="1:2">
      <c r="A5208" s="1" t="s">
        <v>501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106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243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147</v>
      </c>
      <c r="B5286">
        <v>43809</v>
      </c>
    </row>
    <row r="5287" spans="1:2">
      <c r="A5287" s="1" t="s">
        <v>145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94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596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107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460</v>
      </c>
      <c r="B5320">
        <v>43845</v>
      </c>
    </row>
    <row r="5321" spans="1:2">
      <c r="A5321" s="1" t="s">
        <v>415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266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757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76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100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110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234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226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396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241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74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45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477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59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33</v>
      </c>
      <c r="B5559">
        <v>43815</v>
      </c>
    </row>
    <row r="5560" spans="1:2">
      <c r="A5560" s="1" t="s">
        <v>71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412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131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446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40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292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286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439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302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52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123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427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245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156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530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577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141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627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133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401</v>
      </c>
      <c r="B5927">
        <v>43784</v>
      </c>
    </row>
    <row r="5928" spans="1:2">
      <c r="A5928" s="1" t="s">
        <v>220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710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83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606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369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329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441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340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283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126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160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46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357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411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533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140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570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454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428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82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153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272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696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447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206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705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360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513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2021-09-24T14:32:00Z</dcterms:created>
  <dcterms:modified xsi:type="dcterms:W3CDTF">2021-09-24T14:32:00Z</dcterms:modified>
</cp:coreProperties>
</file>